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. PCTN\00. Tổng hợp toàn ngành\2025_BC thực hiện kiến nghị\2026_BC Tổng hợp KQ TH kiến nghị năm 2025_16_3\Các phụ biểu kèm BCKN năm 2026\"/>
    </mc:Choice>
  </mc:AlternateContent>
  <xr:revisionPtr revIDLastSave="0" documentId="13_ncr:1_{60A47925-44A4-4BF9-BF6E-34A60F6AE96B}" xr6:coauthVersionLast="36" xr6:coauthVersionMax="47" xr10:uidLastSave="{00000000-0000-0000-0000-000000000000}"/>
  <bookViews>
    <workbookView xWindow="-120" yWindow="-120" windowWidth="29040" windowHeight="15720" xr2:uid="{4A9B594D-E935-4091-A14C-5C00A6107667}"/>
  </bookViews>
  <sheets>
    <sheet name="PB 03 -2024" sheetId="3" r:id="rId1"/>
    <sheet name="xuân tổng hợp" sheetId="8" state="hidden" r:id="rId2"/>
    <sheet name="PB 02a 2023 vt" sheetId="5" state="hidden" r:id="rId3"/>
    <sheet name="ty dong" sheetId="6" state="hidden" r:id="rId4"/>
    <sheet name="Sheet1" sheetId="7" state="hidden" r:id="rId5"/>
  </sheets>
  <definedNames>
    <definedName name="_xlnm._FilterDatabase" localSheetId="0" hidden="1">'PB 03 -2024'!$A$11:$X$11</definedName>
    <definedName name="_xlnm._FilterDatabase" localSheetId="4" hidden="1">Sheet1!$A$13:$S$87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8" l="1"/>
  <c r="K8" i="8"/>
  <c r="I8" i="8"/>
  <c r="D8" i="8"/>
  <c r="L15" i="8"/>
  <c r="K15" i="8"/>
  <c r="R14" i="8"/>
  <c r="R15" i="8" s="1"/>
  <c r="Q14" i="8"/>
  <c r="Q15" i="8" s="1"/>
  <c r="P14" i="8"/>
  <c r="P15" i="8" s="1"/>
  <c r="O14" i="8"/>
  <c r="O15" i="8" s="1"/>
  <c r="N14" i="8"/>
  <c r="N15" i="8" s="1"/>
  <c r="M14" i="8"/>
  <c r="L14" i="8"/>
  <c r="K14" i="8"/>
  <c r="K7" i="8" s="1"/>
  <c r="J14" i="8"/>
  <c r="J15" i="8" s="1"/>
  <c r="I14" i="8"/>
  <c r="I7" i="8" s="1"/>
  <c r="H14" i="8"/>
  <c r="H15" i="8" s="1"/>
  <c r="G14" i="8"/>
  <c r="G15" i="8" s="1"/>
  <c r="F14" i="8"/>
  <c r="F15" i="8" s="1"/>
  <c r="E14" i="8"/>
  <c r="E15" i="8" s="1"/>
  <c r="D14" i="8"/>
  <c r="D15" i="8" s="1"/>
  <c r="C14" i="8"/>
  <c r="M15" i="8" s="1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AA18" i="8"/>
  <c r="AB18" i="8" s="1"/>
  <c r="C28" i="8" l="1"/>
  <c r="C34" i="8"/>
  <c r="P7" i="8"/>
  <c r="D7" i="8"/>
  <c r="I15" i="8"/>
  <c r="C40" i="8"/>
  <c r="C38" i="8"/>
  <c r="AA24" i="8"/>
  <c r="C37" i="8"/>
  <c r="C20" i="8"/>
  <c r="C36" i="8"/>
  <c r="C30" i="8"/>
  <c r="AA31" i="8"/>
  <c r="AA22" i="8"/>
  <c r="AA39" i="8"/>
  <c r="C39" i="8"/>
  <c r="C23" i="8"/>
  <c r="AA28" i="8"/>
  <c r="AB28" i="8" s="1"/>
  <c r="C27" i="8"/>
  <c r="C22" i="8"/>
  <c r="AA36" i="8"/>
  <c r="C26" i="8"/>
  <c r="C35" i="8"/>
  <c r="AA26" i="8"/>
  <c r="AA40" i="8"/>
  <c r="AA19" i="8"/>
  <c r="C25" i="8"/>
  <c r="AA30" i="8"/>
  <c r="AA33" i="8"/>
  <c r="C32" i="8"/>
  <c r="C41" i="8"/>
  <c r="AA25" i="8"/>
  <c r="AA29" i="8"/>
  <c r="C21" i="8"/>
  <c r="AA23" i="8"/>
  <c r="C29" i="8"/>
  <c r="AA34" i="8"/>
  <c r="AB34" i="8" s="1"/>
  <c r="AA41" i="8"/>
  <c r="AA21" i="8"/>
  <c r="AA35" i="8"/>
  <c r="AA27" i="8"/>
  <c r="C33" i="8"/>
  <c r="AA37" i="8"/>
  <c r="AA32" i="8"/>
  <c r="C31" i="8"/>
  <c r="C24" i="8"/>
  <c r="AB24" i="8" s="1"/>
  <c r="AA38" i="8"/>
  <c r="AB38" i="8" s="1"/>
  <c r="AB37" i="8"/>
  <c r="AA13" i="8"/>
  <c r="AB13" i="8" s="1"/>
  <c r="AA20" i="8"/>
  <c r="C19" i="8"/>
  <c r="AB19" i="8" s="1"/>
  <c r="AB30" i="8" l="1"/>
  <c r="AB20" i="8"/>
  <c r="AB40" i="8"/>
  <c r="AB23" i="8"/>
  <c r="AB26" i="8"/>
  <c r="AB36" i="8"/>
  <c r="AB32" i="8"/>
  <c r="AB25" i="8"/>
  <c r="AB22" i="8"/>
  <c r="AB29" i="8"/>
  <c r="AB41" i="8"/>
  <c r="AB27" i="8"/>
  <c r="AB21" i="8"/>
  <c r="AB39" i="8"/>
  <c r="AB33" i="8"/>
  <c r="AB35" i="8"/>
  <c r="AB31" i="8"/>
  <c r="AA17" i="8"/>
  <c r="AB17" i="8" s="1"/>
  <c r="R35" i="3" l="1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 s="1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 s="1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20" i="5" l="1"/>
  <c r="C14" i="5"/>
  <c r="C15" i="5"/>
  <c r="C16" i="5"/>
  <c r="C17" i="5"/>
  <c r="C18" i="5"/>
  <c r="C19" i="5"/>
  <c r="C21" i="5"/>
  <c r="C22" i="5"/>
  <c r="C23" i="5"/>
  <c r="C24" i="5"/>
  <c r="C25" i="5"/>
  <c r="C26" i="5"/>
  <c r="C27" i="5"/>
  <c r="C29" i="5"/>
  <c r="C30" i="5"/>
  <c r="C31" i="5"/>
  <c r="C32" i="5"/>
  <c r="C33" i="5"/>
  <c r="C34" i="5"/>
  <c r="C35" i="5"/>
  <c r="C35" i="3"/>
  <c r="C34" i="3"/>
  <c r="C33" i="3"/>
  <c r="C32" i="3"/>
  <c r="C31" i="3"/>
  <c r="C30" i="3"/>
  <c r="C29" i="3"/>
  <c r="C28" i="3"/>
  <c r="C27" i="3"/>
  <c r="C26" i="3"/>
  <c r="C25" i="3"/>
  <c r="D11" i="3"/>
  <c r="C24" i="3"/>
  <c r="C23" i="3"/>
  <c r="C22" i="3"/>
  <c r="C21" i="3"/>
  <c r="C20" i="3"/>
  <c r="C19" i="3"/>
  <c r="C18" i="3"/>
  <c r="C17" i="3"/>
  <c r="C16" i="3"/>
  <c r="I11" i="3"/>
  <c r="C11" i="3" l="1"/>
  <c r="D12" i="3" l="1"/>
  <c r="AA24" i="3"/>
  <c r="AB24" i="3" s="1"/>
  <c r="AB12" i="3"/>
  <c r="AA35" i="3"/>
  <c r="AB35" i="3" s="1"/>
  <c r="AA34" i="3"/>
  <c r="AB34" i="3" s="1"/>
  <c r="AA33" i="3"/>
  <c r="AB33" i="3" s="1"/>
  <c r="AA32" i="3"/>
  <c r="AB32" i="3" s="1"/>
  <c r="AA31" i="3"/>
  <c r="AB31" i="3" s="1"/>
  <c r="AA30" i="3"/>
  <c r="AB30" i="3" s="1"/>
  <c r="AA29" i="3"/>
  <c r="AB29" i="3" s="1"/>
  <c r="AA28" i="3"/>
  <c r="AB28" i="3" s="1"/>
  <c r="AA27" i="3"/>
  <c r="AB27" i="3" s="1"/>
  <c r="AA26" i="3"/>
  <c r="AB26" i="3" s="1"/>
  <c r="AA25" i="3"/>
  <c r="AB25" i="3" s="1"/>
  <c r="AA23" i="3"/>
  <c r="AB23" i="3" s="1"/>
  <c r="AA22" i="3"/>
  <c r="AB22" i="3" s="1"/>
  <c r="AA21" i="3"/>
  <c r="AB21" i="3" s="1"/>
  <c r="AA20" i="3"/>
  <c r="AB20" i="3" s="1"/>
  <c r="AA19" i="3"/>
  <c r="AB19" i="3" s="1"/>
  <c r="AA18" i="3"/>
  <c r="AB18" i="3" s="1"/>
  <c r="AA17" i="3"/>
  <c r="AB17" i="3" s="1"/>
  <c r="AA16" i="3"/>
  <c r="AB16" i="3" s="1"/>
  <c r="AA15" i="3"/>
  <c r="AB15" i="3" s="1"/>
  <c r="AA14" i="3"/>
  <c r="AB14" i="3" s="1"/>
  <c r="AA13" i="3"/>
  <c r="AB13" i="3" s="1"/>
  <c r="AB13" i="5"/>
  <c r="AA13" i="5"/>
  <c r="AA36" i="5" l="1"/>
  <c r="AB36" i="5" s="1"/>
  <c r="AA35" i="5"/>
  <c r="AB35" i="5" s="1"/>
  <c r="AA34" i="5"/>
  <c r="AB34" i="5" s="1"/>
  <c r="AA33" i="5"/>
  <c r="AB33" i="5" s="1"/>
  <c r="AA32" i="5"/>
  <c r="AB32" i="5" s="1"/>
  <c r="AA31" i="5"/>
  <c r="AB31" i="5" s="1"/>
  <c r="AA30" i="5"/>
  <c r="AB30" i="5" s="1"/>
  <c r="AA29" i="5"/>
  <c r="AB29" i="5" s="1"/>
  <c r="AA28" i="5"/>
  <c r="AB28" i="5" s="1"/>
  <c r="AA27" i="5"/>
  <c r="AB27" i="5" s="1"/>
  <c r="AA26" i="5"/>
  <c r="AB26" i="5" s="1"/>
  <c r="AA25" i="5"/>
  <c r="AB25" i="5" s="1"/>
  <c r="AA24" i="5"/>
  <c r="AB24" i="5" s="1"/>
  <c r="AA23" i="5"/>
  <c r="AB23" i="5" s="1"/>
  <c r="AA22" i="5"/>
  <c r="AB22" i="5" s="1"/>
  <c r="AA21" i="5"/>
  <c r="AB21" i="5" s="1"/>
  <c r="AA20" i="5"/>
  <c r="AB20" i="5" s="1"/>
  <c r="AA19" i="5"/>
  <c r="AB19" i="5" s="1"/>
  <c r="AA18" i="5"/>
  <c r="AB18" i="5" s="1"/>
  <c r="AA17" i="5"/>
  <c r="AB17" i="5" s="1"/>
  <c r="AA16" i="5"/>
  <c r="AB16" i="5" s="1"/>
  <c r="AA15" i="5"/>
  <c r="AB15" i="5" s="1"/>
  <c r="AA14" i="5"/>
  <c r="AB14" i="5" s="1"/>
  <c r="D28" i="7" l="1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C28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C2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C37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C36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C35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C34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C33" i="7"/>
  <c r="R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C32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C31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C30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C29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C26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C25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C24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C23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C22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C21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C20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C19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C18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C17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C16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C15" i="7"/>
  <c r="D15" i="7"/>
  <c r="E14" i="7"/>
  <c r="F14" i="7"/>
  <c r="F10" i="7" s="1"/>
  <c r="G14" i="7"/>
  <c r="G10" i="7" s="1"/>
  <c r="H14" i="7"/>
  <c r="I14" i="7"/>
  <c r="J14" i="7"/>
  <c r="K14" i="7"/>
  <c r="L14" i="7"/>
  <c r="M14" i="7"/>
  <c r="N14" i="7"/>
  <c r="O14" i="7"/>
  <c r="P14" i="7"/>
  <c r="P10" i="7" s="1"/>
  <c r="Q14" i="7"/>
  <c r="Q10" i="7" s="1"/>
  <c r="R14" i="7"/>
  <c r="S14" i="7"/>
  <c r="C14" i="7"/>
  <c r="D14" i="7"/>
  <c r="R13" i="6"/>
  <c r="Q13" i="6"/>
  <c r="P13" i="6"/>
  <c r="Q7" i="6" s="1"/>
  <c r="O13" i="6"/>
  <c r="O12" i="6" s="1"/>
  <c r="N13" i="6"/>
  <c r="N12" i="6" s="1"/>
  <c r="M13" i="6"/>
  <c r="L13" i="6"/>
  <c r="K13" i="6"/>
  <c r="J13" i="6"/>
  <c r="I13" i="6"/>
  <c r="I7" i="6" s="1"/>
  <c r="H13" i="6"/>
  <c r="H12" i="6" s="1"/>
  <c r="G13" i="6"/>
  <c r="F13" i="6"/>
  <c r="F12" i="6" s="1"/>
  <c r="E13" i="6"/>
  <c r="D13" i="6"/>
  <c r="C13" i="6"/>
  <c r="E12" i="6" s="1"/>
  <c r="J7" i="6" l="1"/>
  <c r="Q6" i="6"/>
  <c r="Q12" i="6"/>
  <c r="J12" i="6"/>
  <c r="E10" i="7"/>
  <c r="R10" i="7"/>
  <c r="O10" i="7"/>
  <c r="M10" i="7"/>
  <c r="M12" i="6"/>
  <c r="M7" i="6"/>
  <c r="N7" i="6" s="1"/>
  <c r="K10" i="7"/>
  <c r="E7" i="6"/>
  <c r="F7" i="6" s="1"/>
  <c r="F6" i="6" s="1"/>
  <c r="D12" i="6"/>
  <c r="N10" i="7"/>
  <c r="L12" i="6"/>
  <c r="AA13" i="6"/>
  <c r="J10" i="7"/>
  <c r="G12" i="6"/>
  <c r="I12" i="6"/>
  <c r="L10" i="7"/>
  <c r="D10" i="7"/>
  <c r="I10" i="7"/>
  <c r="H10" i="7"/>
  <c r="K12" i="6"/>
  <c r="P12" i="6"/>
  <c r="R12" i="6"/>
  <c r="AA12" i="6" s="1"/>
  <c r="C10" i="7"/>
  <c r="D11" i="5" l="1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C11" i="5"/>
  <c r="C6" i="5" s="1"/>
  <c r="R11" i="3"/>
  <c r="Q11" i="3"/>
  <c r="Q12" i="3" s="1"/>
  <c r="P11" i="3"/>
  <c r="O11" i="3"/>
  <c r="N11" i="3"/>
  <c r="M11" i="3"/>
  <c r="L11" i="3"/>
  <c r="K11" i="3"/>
  <c r="J11" i="3"/>
  <c r="I6" i="3" s="1"/>
  <c r="H11" i="3"/>
  <c r="G11" i="3"/>
  <c r="G12" i="3" s="1"/>
  <c r="F11" i="3"/>
  <c r="F12" i="3" s="1"/>
  <c r="E11" i="3"/>
  <c r="K12" i="5" l="1"/>
  <c r="K6" i="5"/>
  <c r="L6" i="5" s="1"/>
  <c r="F12" i="5"/>
  <c r="I12" i="5"/>
  <c r="I6" i="5"/>
  <c r="J6" i="5" s="1"/>
  <c r="O12" i="5"/>
  <c r="E12" i="5"/>
  <c r="L12" i="5"/>
  <c r="P12" i="5"/>
  <c r="P6" i="5"/>
  <c r="Q6" i="5" s="1"/>
  <c r="H12" i="5"/>
  <c r="M12" i="5"/>
  <c r="Q12" i="5"/>
  <c r="G12" i="5"/>
  <c r="J12" i="5"/>
  <c r="N12" i="5"/>
  <c r="R12" i="5"/>
  <c r="D12" i="5"/>
  <c r="M6" i="3"/>
  <c r="P6" i="3"/>
  <c r="E12" i="3"/>
  <c r="D6" i="3"/>
  <c r="D6" i="5"/>
  <c r="E6" i="5" s="1"/>
  <c r="AA11" i="3"/>
  <c r="AB11" i="3" s="1"/>
  <c r="AA11" i="5"/>
  <c r="AB11" i="5" s="1"/>
  <c r="R12" i="3"/>
  <c r="M12" i="3"/>
  <c r="H12" i="3"/>
  <c r="I12" i="3"/>
  <c r="J12" i="3"/>
  <c r="K12" i="3"/>
  <c r="N12" i="3"/>
  <c r="O12" i="3"/>
  <c r="P12" i="3"/>
  <c r="W11" i="3"/>
  <c r="V11" i="3"/>
  <c r="T11" i="3"/>
  <c r="D5" i="3" l="1"/>
  <c r="Q6" i="3"/>
  <c r="AA12" i="5"/>
  <c r="AB12" i="5" s="1"/>
  <c r="N6" i="3"/>
  <c r="J6" i="3"/>
  <c r="E6" i="3"/>
  <c r="X11" i="3"/>
</calcChain>
</file>

<file path=xl/sharedStrings.xml><?xml version="1.0" encoding="utf-8"?>
<sst xmlns="http://schemas.openxmlformats.org/spreadsheetml/2006/main" count="327" uniqueCount="70">
  <si>
    <t xml:space="preserve">                         KIỂM TOÁN NHÀ NƯỚC</t>
  </si>
  <si>
    <t>Phụ biểu số 07/BCKN-NNCTH</t>
  </si>
  <si>
    <t>TỔNG HỢP PHÂN TÍCH NGUYÊN NHÂN CHƯA THỰC HIỆN  CÁC KIẾN NGHỊ XỬ LÝ TÀI CHÍNH VÀ XỬ LÝ KHÁC</t>
  </si>
  <si>
    <t>Đơn vị tính: triệu đồng</t>
  </si>
  <si>
    <t>STT</t>
  </si>
  <si>
    <t>Báo cáo kiểm toán</t>
  </si>
  <si>
    <t>Tổng cộng</t>
  </si>
  <si>
    <t>Thuộc về đơn vị được KT</t>
  </si>
  <si>
    <t>Thuộc về trách nhiệm của KTNN</t>
  </si>
  <si>
    <t>Thuộc trách nhiệm của bên thứ 3</t>
  </si>
  <si>
    <t>Nguyên nhân khác</t>
  </si>
  <si>
    <t>Ghi chú</t>
  </si>
  <si>
    <t>Đơn vị chưa thực hiện KNKT</t>
  </si>
  <si>
    <t>Đơn vị khó khăn về tài chính</t>
  </si>
  <si>
    <t>Đơn vị đã phá sản hoặc không còn hoạt động hoặc đang tạm dừng hoạt động</t>
  </si>
  <si>
    <t>Đơn vị báo cáo đã thực hiện nhưng chưa có hồ sơ, tài liệu để xác nhận kết quả THKN</t>
  </si>
  <si>
    <t>Chứng từ thực hiện chưa đảm bảo</t>
  </si>
  <si>
    <t>Đơn vị đã thực hiện nhưng KTNN đang xem xét để xác nhận kết quả THKN</t>
  </si>
  <si>
    <t>Đơn vị chưa thống nhất với kiến nghị của KTNN</t>
  </si>
  <si>
    <t>Chờ ý kiến phê duyệt của cơ quan NN có thẩm quyền</t>
  </si>
  <si>
    <t>Vướng mắc về cơ chế chính sách trong quá trình thực hiện</t>
  </si>
  <si>
    <t>Do nhà thầu không hợp tác, phối hợp thực hiện hoặc còn có tranh chấp giữa CĐT và nhà thầu</t>
  </si>
  <si>
    <t>Chưa được bố trí vốn thanh toán hoặc đang hoàn thiện hồ sơ thanh, quyết toán</t>
  </si>
  <si>
    <t>Chưa được phê duyệt thanh, quyết toán</t>
  </si>
  <si>
    <t>Đơn vị đang thực hiện chưa đến thời điểm báo cáo THKN</t>
  </si>
  <si>
    <t>Chưa xác định được nguyên nhân</t>
  </si>
  <si>
    <t>A</t>
  </si>
  <si>
    <t>B</t>
  </si>
  <si>
    <t>1=2+…16</t>
  </si>
  <si>
    <t xml:space="preserve">Tổng cộng </t>
  </si>
  <si>
    <t>Vụ Pháp chế</t>
  </si>
  <si>
    <t>Vụ Tổng hợp</t>
  </si>
  <si>
    <t>Vụ Chế độ và KSCLKT</t>
  </si>
  <si>
    <t>KTNN chuyên ngành 1a</t>
  </si>
  <si>
    <t>Năm kiểm toán:  2023; Năm thực hiện kiến nghị kiểm toán năm 2024</t>
  </si>
  <si>
    <t>KTNN chuyên ngành 1b</t>
  </si>
  <si>
    <t>KTNN chuyên ngành II</t>
  </si>
  <si>
    <t>KTNN chuyên ngành III</t>
  </si>
  <si>
    <t>KTNN chuyên ngành IV</t>
  </si>
  <si>
    <t>KTNN chuyên ngành V</t>
  </si>
  <si>
    <t>KTNN chuyên ngành VI</t>
  </si>
  <si>
    <t>KTNN chuyên ngành VII</t>
  </si>
  <si>
    <t>KTNN KV I</t>
  </si>
  <si>
    <t>KTNN KV II</t>
  </si>
  <si>
    <t>KTNN KV III</t>
  </si>
  <si>
    <t>KTNN KV IV</t>
  </si>
  <si>
    <t>KTNN KV V</t>
  </si>
  <si>
    <t>KTNN KV VI</t>
  </si>
  <si>
    <t>KTNN KV VII</t>
  </si>
  <si>
    <t>KTNN KV VIII</t>
  </si>
  <si>
    <t>KTNN KV IX</t>
  </si>
  <si>
    <t>KTNN KV X</t>
  </si>
  <si>
    <t>KTNN KV XI</t>
  </si>
  <si>
    <t>KTNN KV XII</t>
  </si>
  <si>
    <t>KTNN KV XIII</t>
  </si>
  <si>
    <t>Năm kiểm toán:  2022 trở về trước; Năm thực hiện kiến nghị kiểm toán năm 2024</t>
  </si>
  <si>
    <t>\</t>
  </si>
  <si>
    <t xml:space="preserve">Tổng </t>
  </si>
  <si>
    <t xml:space="preserve">Tỷ lệ </t>
  </si>
  <si>
    <r>
      <t xml:space="preserve">                         </t>
    </r>
    <r>
      <rPr>
        <u/>
        <sz val="15"/>
        <rFont val="Times New Roman"/>
        <family val="1"/>
      </rPr>
      <t>KIỂM TOÁN NHÀ NƯỚC</t>
    </r>
  </si>
  <si>
    <r>
      <t xml:space="preserve">                        </t>
    </r>
    <r>
      <rPr>
        <u/>
        <sz val="14"/>
        <rFont val="Times New Roman"/>
        <family val="1"/>
      </rPr>
      <t xml:space="preserve"> KIỂM TOÁN NHÀ NƯỚC</t>
    </r>
  </si>
  <si>
    <t>Năm kiểm toán:  2023 trở về trước; Năm thực hiện kiến nghị kiểm toán năm 2025</t>
  </si>
  <si>
    <t>Phụ biểu số 02a/BCKN2024 - NĐNS 2023VT</t>
  </si>
  <si>
    <t>Đơn vị tính: Tỷ đồng</t>
  </si>
  <si>
    <t>Phụ biểu số 03a/BCKN2024 - NĐNS 2023VT</t>
  </si>
  <si>
    <t>Năm kT 2023 về trc</t>
  </si>
  <si>
    <t>Phụ biểu số 03/BCKN2025 - NĐNS 2023</t>
  </si>
  <si>
    <t>Năm kiểm toán: 2024; Năm thực hiện kiến nghị kiểm toán năm 2025</t>
  </si>
  <si>
    <t>KTNN chuyên ngành Ia</t>
  </si>
  <si>
    <t>KTNN chuyên ngành 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</si>
</sst>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_(* #,##0_);_(* \(#,##0\);_(* &quot;-&quot;??_);_(@_)"/>
    <numFmt numFmtId="168" formatCode="_(* #,##0.0_);_(* \(#,##0.0\);_(* &quot;-&quot;??_);_(@_)"/>
    <numFmt numFmtId="169" formatCode="_(* #,##0.0_);_(* \(#,##0.0\);_(* &quot;-&quot;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  <family val="2"/>
    </font>
    <font>
      <i/>
      <sz val="9"/>
      <name val="Times New Roman"/>
      <family val="1"/>
    </font>
    <font>
      <b/>
      <sz val="9"/>
      <name val="Times New Roman"/>
      <family val="1"/>
      <charset val="163"/>
    </font>
    <font>
      <b/>
      <sz val="9"/>
      <name val="Arial"/>
      <family val="2"/>
    </font>
    <font>
      <sz val="10"/>
      <name val="Arial"/>
      <family val="2"/>
    </font>
    <font>
      <sz val="9"/>
      <name val="Times New Roman"/>
      <family val="1"/>
      <charset val="163"/>
    </font>
    <font>
      <b/>
      <i/>
      <sz val="9"/>
      <name val="Arial"/>
      <family val="2"/>
    </font>
    <font>
      <b/>
      <i/>
      <sz val="9"/>
      <name val="Times New Roman"/>
      <family val="1"/>
    </font>
    <font>
      <sz val="9"/>
      <color theme="4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b/>
      <sz val="15"/>
      <name val="Times New Roman"/>
      <family val="1"/>
    </font>
    <font>
      <u/>
      <sz val="15"/>
      <name val="Times New Roman"/>
      <family val="1"/>
    </font>
    <font>
      <u/>
      <sz val="9"/>
      <name val="Times New Roman"/>
      <family val="1"/>
    </font>
    <font>
      <sz val="14"/>
      <name val="Times New Roman"/>
      <family val="1"/>
    </font>
    <font>
      <u/>
      <sz val="14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  <charset val="163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Arial"/>
      <family val="2"/>
    </font>
    <font>
      <b/>
      <sz val="12"/>
      <color theme="1"/>
      <name val="Times New Roman"/>
      <family val="1"/>
    </font>
    <font>
      <sz val="12"/>
      <name val="Times New Roman"/>
      <family val="1"/>
      <charset val="163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</cellStyleXfs>
  <cellXfs count="1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center" vertical="center"/>
    </xf>
    <xf numFmtId="166" fontId="3" fillId="0" borderId="0" xfId="2" applyNumberFormat="1" applyFont="1" applyFill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6" fontId="2" fillId="0" borderId="0" xfId="2" applyNumberFormat="1" applyFont="1" applyFill="1"/>
    <xf numFmtId="165" fontId="2" fillId="0" borderId="0" xfId="0" applyNumberFormat="1" applyFont="1"/>
    <xf numFmtId="0" fontId="2" fillId="0" borderId="1" xfId="0" applyFont="1" applyBorder="1"/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165" fontId="7" fillId="0" borderId="0" xfId="0" applyNumberFormat="1" applyFont="1"/>
    <xf numFmtId="0" fontId="7" fillId="0" borderId="0" xfId="0" applyFont="1"/>
    <xf numFmtId="10" fontId="7" fillId="0" borderId="0" xfId="2" applyNumberFormat="1" applyFont="1" applyFill="1"/>
    <xf numFmtId="10" fontId="7" fillId="0" borderId="0" xfId="0" applyNumberFormat="1" applyFont="1"/>
    <xf numFmtId="0" fontId="10" fillId="0" borderId="0" xfId="0" applyFont="1"/>
    <xf numFmtId="0" fontId="3" fillId="0" borderId="0" xfId="0" applyFont="1" applyAlignment="1">
      <alignment horizontal="center"/>
    </xf>
    <xf numFmtId="43" fontId="2" fillId="0" borderId="2" xfId="1" applyFont="1" applyFill="1" applyBorder="1" applyAlignment="1">
      <alignment horizontal="center" vertical="center"/>
    </xf>
    <xf numFmtId="167" fontId="2" fillId="0" borderId="2" xfId="1" applyNumberFormat="1" applyFont="1" applyBorder="1" applyAlignment="1">
      <alignment vertical="center" wrapText="1"/>
    </xf>
    <xf numFmtId="167" fontId="2" fillId="0" borderId="0" xfId="1" applyNumberFormat="1" applyFont="1" applyAlignment="1">
      <alignment vertical="center" wrapText="1"/>
    </xf>
    <xf numFmtId="167" fontId="6" fillId="0" borderId="2" xfId="1" applyNumberFormat="1" applyFont="1" applyFill="1" applyBorder="1" applyAlignment="1">
      <alignment horizontal="center" vertical="center" wrapText="1"/>
    </xf>
    <xf numFmtId="167" fontId="2" fillId="0" borderId="2" xfId="1" applyNumberFormat="1" applyFont="1" applyFill="1" applyBorder="1" applyAlignment="1">
      <alignment horizontal="center" vertical="center"/>
    </xf>
    <xf numFmtId="167" fontId="3" fillId="0" borderId="2" xfId="1" applyNumberFormat="1" applyFont="1" applyFill="1" applyBorder="1" applyAlignment="1">
      <alignment horizontal="center" vertical="center" wrapText="1"/>
    </xf>
    <xf numFmtId="167" fontId="2" fillId="0" borderId="2" xfId="1" applyNumberFormat="1" applyFont="1" applyFill="1" applyBorder="1" applyAlignment="1">
      <alignment vertical="center"/>
    </xf>
    <xf numFmtId="167" fontId="2" fillId="0" borderId="2" xfId="1" applyNumberFormat="1" applyFont="1" applyFill="1" applyBorder="1" applyAlignment="1">
      <alignment vertical="center" wrapText="1"/>
    </xf>
    <xf numFmtId="167" fontId="2" fillId="0" borderId="2" xfId="1" applyNumberFormat="1" applyFont="1" applyFill="1" applyBorder="1"/>
    <xf numFmtId="167" fontId="2" fillId="0" borderId="2" xfId="1" applyNumberFormat="1" applyFont="1" applyFill="1" applyBorder="1" applyAlignment="1">
      <alignment horizontal="justify" vertical="center" wrapText="1"/>
    </xf>
    <xf numFmtId="167" fontId="9" fillId="0" borderId="2" xfId="1" applyNumberFormat="1" applyFont="1" applyFill="1" applyBorder="1"/>
    <xf numFmtId="167" fontId="12" fillId="0" borderId="2" xfId="1" applyNumberFormat="1" applyFont="1" applyFill="1" applyBorder="1" applyAlignment="1">
      <alignment vertical="center" wrapText="1"/>
    </xf>
    <xf numFmtId="167" fontId="10" fillId="0" borderId="2" xfId="1" applyNumberFormat="1" applyFont="1" applyFill="1" applyBorder="1"/>
    <xf numFmtId="167" fontId="2" fillId="0" borderId="0" xfId="1" applyNumberFormat="1" applyFont="1" applyFill="1"/>
    <xf numFmtId="43" fontId="3" fillId="0" borderId="2" xfId="1" applyFont="1" applyFill="1" applyBorder="1" applyAlignment="1">
      <alignment horizontal="center" vertical="center" wrapText="1"/>
    </xf>
    <xf numFmtId="168" fontId="2" fillId="0" borderId="0" xfId="1" applyNumberFormat="1" applyFont="1" applyAlignment="1">
      <alignment vertical="center" wrapText="1"/>
    </xf>
    <xf numFmtId="166" fontId="2" fillId="0" borderId="0" xfId="2" applyNumberFormat="1" applyFont="1" applyAlignment="1">
      <alignment vertical="center" wrapText="1"/>
    </xf>
    <xf numFmtId="10" fontId="6" fillId="0" borderId="2" xfId="2" applyNumberFormat="1" applyFont="1" applyFill="1" applyBorder="1" applyAlignment="1">
      <alignment horizontal="center" vertical="center" wrapText="1"/>
    </xf>
    <xf numFmtId="168" fontId="3" fillId="0" borderId="2" xfId="1" applyNumberFormat="1" applyFont="1" applyFill="1" applyBorder="1" applyAlignment="1">
      <alignment horizontal="center" vertical="center" wrapText="1"/>
    </xf>
    <xf numFmtId="168" fontId="3" fillId="0" borderId="0" xfId="0" applyNumberFormat="1" applyFont="1"/>
    <xf numFmtId="166" fontId="3" fillId="0" borderId="0" xfId="2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167" fontId="3" fillId="0" borderId="0" xfId="1" applyNumberFormat="1" applyFont="1" applyAlignment="1">
      <alignment vertical="center" wrapText="1"/>
    </xf>
    <xf numFmtId="166" fontId="3" fillId="0" borderId="0" xfId="2" applyNumberFormat="1" applyFont="1" applyFill="1"/>
    <xf numFmtId="166" fontId="3" fillId="0" borderId="0" xfId="2" applyNumberFormat="1" applyFont="1"/>
    <xf numFmtId="0" fontId="3" fillId="0" borderId="1" xfId="0" applyFont="1" applyBorder="1"/>
    <xf numFmtId="166" fontId="5" fillId="0" borderId="2" xfId="2" applyNumberFormat="1" applyFont="1" applyBorder="1" applyAlignment="1">
      <alignment horizontal="center" vertical="center" wrapText="1"/>
    </xf>
    <xf numFmtId="166" fontId="5" fillId="0" borderId="2" xfId="2" applyNumberFormat="1" applyFont="1" applyBorder="1" applyAlignment="1">
      <alignment horizontal="center" wrapText="1"/>
    </xf>
    <xf numFmtId="168" fontId="2" fillId="0" borderId="2" xfId="1" applyNumberFormat="1" applyFont="1" applyFill="1" applyBorder="1" applyAlignment="1">
      <alignment horizontal="center" vertical="center"/>
    </xf>
    <xf numFmtId="168" fontId="2" fillId="0" borderId="2" xfId="1" applyNumberFormat="1" applyFont="1" applyFill="1" applyBorder="1" applyAlignment="1">
      <alignment horizontal="center" vertical="center" wrapText="1"/>
    </xf>
    <xf numFmtId="168" fontId="11" fillId="0" borderId="2" xfId="0" applyNumberFormat="1" applyFont="1" applyBorder="1" applyAlignment="1">
      <alignment horizontal="center" vertical="center" wrapText="1"/>
    </xf>
    <xf numFmtId="168" fontId="4" fillId="0" borderId="0" xfId="0" applyNumberFormat="1" applyFont="1"/>
    <xf numFmtId="10" fontId="5" fillId="0" borderId="2" xfId="2" applyNumberFormat="1" applyFont="1" applyBorder="1" applyAlignment="1">
      <alignment horizontal="center" vertical="center" wrapText="1"/>
    </xf>
    <xf numFmtId="166" fontId="4" fillId="0" borderId="0" xfId="0" applyNumberFormat="1" applyFont="1"/>
    <xf numFmtId="43" fontId="0" fillId="0" borderId="0" xfId="1" applyFont="1"/>
    <xf numFmtId="0" fontId="0" fillId="0" borderId="2" xfId="0" applyBorder="1"/>
    <xf numFmtId="167" fontId="2" fillId="2" borderId="2" xfId="1" applyNumberFormat="1" applyFont="1" applyFill="1" applyBorder="1" applyAlignment="1">
      <alignment vertical="center"/>
    </xf>
    <xf numFmtId="167" fontId="2" fillId="2" borderId="2" xfId="1" applyNumberFormat="1" applyFont="1" applyFill="1" applyBorder="1" applyAlignment="1">
      <alignment vertical="center" wrapText="1"/>
    </xf>
    <xf numFmtId="43" fontId="3" fillId="2" borderId="2" xfId="1" applyFont="1" applyFill="1" applyBorder="1" applyAlignment="1">
      <alignment horizontal="center" vertical="center" wrapText="1"/>
    </xf>
    <xf numFmtId="167" fontId="5" fillId="2" borderId="2" xfId="0" applyNumberFormat="1" applyFont="1" applyFill="1" applyBorder="1" applyAlignment="1">
      <alignment horizontal="center" vertical="center" wrapText="1"/>
    </xf>
    <xf numFmtId="167" fontId="5" fillId="0" borderId="2" xfId="0" applyNumberFormat="1" applyFont="1" applyBorder="1" applyAlignment="1">
      <alignment horizontal="center" vertical="center" wrapText="1"/>
    </xf>
    <xf numFmtId="167" fontId="0" fillId="0" borderId="0" xfId="0" applyNumberFormat="1"/>
    <xf numFmtId="167" fontId="3" fillId="2" borderId="2" xfId="1" applyNumberFormat="1" applyFont="1" applyFill="1" applyBorder="1" applyAlignment="1">
      <alignment horizontal="center" vertical="center" wrapText="1"/>
    </xf>
    <xf numFmtId="167" fontId="0" fillId="0" borderId="2" xfId="0" applyNumberFormat="1" applyBorder="1"/>
    <xf numFmtId="167" fontId="7" fillId="0" borderId="0" xfId="0" applyNumberFormat="1" applyFont="1"/>
    <xf numFmtId="43" fontId="2" fillId="0" borderId="0" xfId="1" applyFont="1" applyAlignment="1">
      <alignment vertical="center" wrapText="1"/>
    </xf>
    <xf numFmtId="10" fontId="3" fillId="0" borderId="0" xfId="2" applyNumberFormat="1" applyFont="1"/>
    <xf numFmtId="167" fontId="2" fillId="0" borderId="0" xfId="0" applyNumberFormat="1" applyFont="1"/>
    <xf numFmtId="167" fontId="3" fillId="0" borderId="0" xfId="0" applyNumberFormat="1" applyFont="1"/>
    <xf numFmtId="169" fontId="13" fillId="0" borderId="0" xfId="0" applyNumberFormat="1" applyFont="1" applyAlignment="1">
      <alignment horizontal="center"/>
    </xf>
    <xf numFmtId="0" fontId="5" fillId="0" borderId="1" xfId="0" applyFont="1" applyBorder="1"/>
    <xf numFmtId="0" fontId="14" fillId="0" borderId="0" xfId="0" applyFont="1"/>
    <xf numFmtId="0" fontId="15" fillId="0" borderId="0" xfId="0" applyFont="1"/>
    <xf numFmtId="0" fontId="20" fillId="0" borderId="0" xfId="0" applyFont="1"/>
    <xf numFmtId="10" fontId="7" fillId="0" borderId="0" xfId="2" applyNumberFormat="1" applyFont="1"/>
    <xf numFmtId="0" fontId="15" fillId="0" borderId="0" xfId="0" applyFont="1" applyAlignment="1">
      <alignment vertical="center"/>
    </xf>
    <xf numFmtId="43" fontId="2" fillId="0" borderId="0" xfId="0" applyNumberFormat="1" applyFont="1" applyAlignment="1">
      <alignment vertical="center" wrapText="1"/>
    </xf>
    <xf numFmtId="43" fontId="19" fillId="0" borderId="0" xfId="0" applyNumberFormat="1" applyFont="1"/>
    <xf numFmtId="43" fontId="3" fillId="0" borderId="0" xfId="0" applyNumberFormat="1" applyFont="1"/>
    <xf numFmtId="43" fontId="3" fillId="0" borderId="0" xfId="0" applyNumberFormat="1" applyFont="1" applyAlignment="1">
      <alignment horizontal="center"/>
    </xf>
    <xf numFmtId="43" fontId="2" fillId="0" borderId="0" xfId="0" applyNumberFormat="1" applyFont="1"/>
    <xf numFmtId="43" fontId="23" fillId="0" borderId="2" xfId="1" applyFont="1" applyFill="1" applyBorder="1" applyAlignment="1">
      <alignment vertical="center"/>
    </xf>
    <xf numFmtId="43" fontId="23" fillId="0" borderId="2" xfId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168" fontId="25" fillId="0" borderId="2" xfId="1" applyNumberFormat="1" applyFont="1" applyBorder="1" applyAlignment="1">
      <alignment vertical="center" wrapText="1"/>
    </xf>
    <xf numFmtId="167" fontId="26" fillId="0" borderId="2" xfId="1" applyNumberFormat="1" applyFont="1" applyFill="1" applyBorder="1" applyAlignment="1">
      <alignment vertical="center"/>
    </xf>
    <xf numFmtId="167" fontId="26" fillId="0" borderId="2" xfId="1" applyNumberFormat="1" applyFont="1" applyFill="1" applyBorder="1" applyAlignment="1">
      <alignment horizontal="center" vertical="center" wrapText="1"/>
    </xf>
    <xf numFmtId="10" fontId="26" fillId="0" borderId="2" xfId="2" applyNumberFormat="1" applyFont="1" applyFill="1" applyBorder="1" applyAlignment="1">
      <alignment horizontal="center" vertical="center"/>
    </xf>
    <xf numFmtId="10" fontId="26" fillId="0" borderId="2" xfId="2" applyNumberFormat="1" applyFont="1" applyFill="1" applyBorder="1" applyAlignment="1">
      <alignment horizontal="center" vertical="center" wrapText="1"/>
    </xf>
    <xf numFmtId="43" fontId="27" fillId="0" borderId="2" xfId="1" applyFont="1" applyFill="1" applyBorder="1" applyAlignment="1">
      <alignment horizontal="center" vertical="center"/>
    </xf>
    <xf numFmtId="43" fontId="27" fillId="0" borderId="2" xfId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9" fillId="0" borderId="0" xfId="0" applyFont="1"/>
    <xf numFmtId="167" fontId="27" fillId="0" borderId="2" xfId="1" applyNumberFormat="1" applyFont="1" applyFill="1" applyBorder="1" applyAlignment="1">
      <alignment horizontal="center" vertical="center"/>
    </xf>
    <xf numFmtId="167" fontId="30" fillId="0" borderId="2" xfId="1" applyNumberFormat="1" applyFont="1" applyFill="1" applyBorder="1" applyAlignment="1">
      <alignment horizontal="center" vertical="center" wrapText="1"/>
    </xf>
    <xf numFmtId="43" fontId="31" fillId="0" borderId="2" xfId="1" applyFont="1" applyFill="1" applyBorder="1" applyAlignment="1">
      <alignment horizontal="center" vertical="center" wrapText="1"/>
    </xf>
    <xf numFmtId="167" fontId="31" fillId="0" borderId="2" xfId="1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167" fontId="33" fillId="0" borderId="0" xfId="0" applyNumberFormat="1" applyFont="1"/>
    <xf numFmtId="43" fontId="31" fillId="0" borderId="2" xfId="2" applyNumberFormat="1" applyFont="1" applyFill="1" applyBorder="1" applyAlignment="1">
      <alignment horizontal="center" vertical="center" wrapText="1"/>
    </xf>
    <xf numFmtId="10" fontId="31" fillId="0" borderId="2" xfId="2" applyNumberFormat="1" applyFont="1" applyFill="1" applyBorder="1" applyAlignment="1">
      <alignment horizontal="center" vertical="center" wrapText="1"/>
    </xf>
    <xf numFmtId="10" fontId="32" fillId="0" borderId="2" xfId="0" applyNumberFormat="1" applyFont="1" applyBorder="1" applyAlignment="1">
      <alignment horizontal="center" vertical="center" wrapText="1"/>
    </xf>
    <xf numFmtId="167" fontId="27" fillId="0" borderId="2" xfId="1" applyNumberFormat="1" applyFont="1" applyFill="1" applyBorder="1" applyAlignment="1">
      <alignment horizontal="center" vertical="center" wrapText="1"/>
    </xf>
    <xf numFmtId="43" fontId="34" fillId="0" borderId="2" xfId="1" applyFont="1" applyFill="1" applyBorder="1" applyAlignment="1">
      <alignment horizontal="center" vertical="center" wrapText="1"/>
    </xf>
    <xf numFmtId="167" fontId="27" fillId="0" borderId="2" xfId="1" applyNumberFormat="1" applyFont="1" applyFill="1" applyBorder="1" applyAlignment="1">
      <alignment horizontal="justify" vertical="center" wrapText="1"/>
    </xf>
    <xf numFmtId="43" fontId="27" fillId="0" borderId="2" xfId="1" applyFont="1" applyFill="1" applyBorder="1" applyAlignment="1">
      <alignment vertical="center" wrapText="1"/>
    </xf>
    <xf numFmtId="43" fontId="27" fillId="0" borderId="2" xfId="0" applyNumberFormat="1" applyFont="1" applyBorder="1" applyAlignment="1">
      <alignment vertical="center" wrapText="1"/>
    </xf>
    <xf numFmtId="39" fontId="27" fillId="0" borderId="2" xfId="3" applyNumberFormat="1" applyFont="1" applyFill="1" applyBorder="1" applyAlignment="1">
      <alignment vertical="center"/>
    </xf>
    <xf numFmtId="0" fontId="33" fillId="0" borderId="0" xfId="0" applyFont="1"/>
    <xf numFmtId="3" fontId="35" fillId="0" borderId="2" xfId="0" applyNumberFormat="1" applyFont="1" applyBorder="1"/>
    <xf numFmtId="167" fontId="27" fillId="0" borderId="2" xfId="1" applyNumberFormat="1" applyFont="1" applyFill="1" applyBorder="1" applyAlignment="1">
      <alignment vertical="center" wrapText="1"/>
    </xf>
    <xf numFmtId="0" fontId="36" fillId="0" borderId="0" xfId="0" applyFont="1"/>
    <xf numFmtId="0" fontId="27" fillId="0" borderId="2" xfId="0" applyFont="1" applyBorder="1"/>
    <xf numFmtId="0" fontId="27" fillId="0" borderId="0" xfId="0" applyFont="1"/>
    <xf numFmtId="167" fontId="27" fillId="0" borderId="2" xfId="1" applyNumberFormat="1" applyFont="1" applyFill="1" applyBorder="1"/>
    <xf numFmtId="167" fontId="27" fillId="0" borderId="0" xfId="1" applyNumberFormat="1" applyFont="1" applyFill="1"/>
    <xf numFmtId="10" fontId="26" fillId="0" borderId="2" xfId="2" applyNumberFormat="1" applyFont="1" applyFill="1" applyBorder="1" applyAlignment="1">
      <alignment horizontal="right" vertical="center" wrapText="1"/>
    </xf>
    <xf numFmtId="43" fontId="26" fillId="0" borderId="2" xfId="1" applyFont="1" applyFill="1" applyBorder="1" applyAlignment="1">
      <alignment horizontal="right" vertical="center" wrapText="1"/>
    </xf>
    <xf numFmtId="43" fontId="26" fillId="0" borderId="2" xfId="2" applyNumberFormat="1" applyFont="1" applyFill="1" applyBorder="1" applyAlignment="1">
      <alignment horizontal="right" vertical="center" wrapText="1"/>
    </xf>
    <xf numFmtId="43" fontId="23" fillId="0" borderId="2" xfId="1" applyFont="1" applyFill="1" applyBorder="1" applyAlignment="1">
      <alignment horizontal="right" vertical="center" wrapText="1"/>
    </xf>
    <xf numFmtId="43" fontId="28" fillId="0" borderId="2" xfId="1" applyFont="1" applyBorder="1" applyAlignment="1">
      <alignment horizontal="center" vertical="center" wrapText="1"/>
    </xf>
    <xf numFmtId="43" fontId="28" fillId="0" borderId="2" xfId="1" applyFont="1" applyBorder="1" applyAlignment="1">
      <alignment horizontal="center" wrapText="1"/>
    </xf>
    <xf numFmtId="43" fontId="2" fillId="0" borderId="0" xfId="1" applyFont="1" applyFill="1"/>
    <xf numFmtId="43" fontId="2" fillId="0" borderId="0" xfId="1" applyFont="1"/>
    <xf numFmtId="43" fontId="31" fillId="2" borderId="2" xfId="1" applyFont="1" applyFill="1" applyBorder="1" applyAlignment="1">
      <alignment horizontal="center" vertical="center" wrapText="1"/>
    </xf>
    <xf numFmtId="10" fontId="2" fillId="0" borderId="0" xfId="2" applyNumberFormat="1" applyFont="1" applyFill="1"/>
    <xf numFmtId="10" fontId="2" fillId="0" borderId="0" xfId="2" applyNumberFormat="1" applyFont="1"/>
    <xf numFmtId="165" fontId="2" fillId="0" borderId="2" xfId="1" applyNumberFormat="1" applyFont="1" applyFill="1" applyBorder="1"/>
    <xf numFmtId="43" fontId="23" fillId="0" borderId="2" xfId="1" applyFont="1" applyBorder="1" applyAlignment="1">
      <alignment horizontal="right" vertical="center"/>
    </xf>
    <xf numFmtId="43" fontId="23" fillId="0" borderId="2" xfId="1" applyFont="1" applyFill="1" applyBorder="1" applyAlignment="1">
      <alignment vertical="center" wrapText="1"/>
    </xf>
    <xf numFmtId="1" fontId="23" fillId="0" borderId="2" xfId="1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2" fillId="0" borderId="2" xfId="1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43" fontId="3" fillId="0" borderId="6" xfId="1" applyFont="1" applyFill="1" applyBorder="1" applyAlignment="1">
      <alignment horizontal="center" vertical="center" wrapText="1"/>
    </xf>
    <xf numFmtId="43" fontId="3" fillId="0" borderId="7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3" fontId="2" fillId="0" borderId="6" xfId="1" applyFont="1" applyFill="1" applyBorder="1" applyAlignment="1">
      <alignment horizontal="center" vertical="center"/>
    </xf>
    <xf numFmtId="43" fontId="2" fillId="0" borderId="7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8">
    <cellStyle name="Comma" xfId="1" builtinId="3"/>
    <cellStyle name="Comma 2" xfId="3" xr:uid="{068A8357-F257-4A32-8D91-566F92F3F338}"/>
    <cellStyle name="Normal" xfId="0" builtinId="0"/>
    <cellStyle name="Normal 10 2" xfId="5" xr:uid="{A2C2C344-4786-4D88-8938-91A9A683AF35}"/>
    <cellStyle name="Normal 2 2 2 2" xfId="4" xr:uid="{451178A9-126E-42BB-BD3B-B2A19661A85C}"/>
    <cellStyle name="Normal 3" xfId="7" xr:uid="{49D994E7-7EFD-4202-A68E-E6967BF20229}"/>
    <cellStyle name="Normal 5 2" xfId="6" xr:uid="{6F7FE520-9A32-421D-BD09-F8FD2CC4D8A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48E8-B2F7-4AB8-B8B2-47A0CDB657D9}">
  <sheetPr>
    <tabColor rgb="FFFFFF00"/>
    <pageSetUpPr fitToPage="1"/>
  </sheetPr>
  <dimension ref="A1:AB39"/>
  <sheetViews>
    <sheetView tabSelected="1" view="pageBreakPreview" topLeftCell="F2" zoomScale="91" zoomScaleNormal="100" zoomScaleSheetLayoutView="91" zoomScalePageLayoutView="85" workbookViewId="0">
      <selection activeCell="P7" sqref="P7:R7"/>
    </sheetView>
  </sheetViews>
  <sheetFormatPr defaultColWidth="9" defaultRowHeight="12" x14ac:dyDescent="0.2"/>
  <cols>
    <col min="1" max="1" width="8.140625" style="1" bestFit="1" customWidth="1"/>
    <col min="2" max="2" width="27.140625" style="10" customWidth="1"/>
    <col min="3" max="3" width="19" style="81" customWidth="1"/>
    <col min="4" max="4" width="17.140625" style="2" bestFit="1" customWidth="1"/>
    <col min="5" max="5" width="12.42578125" style="2" customWidth="1"/>
    <col min="6" max="6" width="13.85546875" style="2" customWidth="1"/>
    <col min="7" max="7" width="16.85546875" style="2" bestFit="1" customWidth="1"/>
    <col min="8" max="8" width="13.140625" style="2" customWidth="1"/>
    <col min="9" max="9" width="8.7109375" style="2" bestFit="1" customWidth="1"/>
    <col min="10" max="10" width="13.85546875" style="2" bestFit="1" customWidth="1"/>
    <col min="11" max="11" width="13.28515625" style="2" customWidth="1"/>
    <col min="12" max="12" width="8.7109375" style="2" bestFit="1" customWidth="1"/>
    <col min="13" max="13" width="14.28515625" style="2" bestFit="1" customWidth="1"/>
    <col min="14" max="14" width="15.7109375" style="2" bestFit="1" customWidth="1"/>
    <col min="15" max="15" width="13.140625" style="2" bestFit="1" customWidth="1"/>
    <col min="16" max="16" width="8.7109375" style="2" bestFit="1" customWidth="1"/>
    <col min="17" max="17" width="16" style="2" customWidth="1"/>
    <col min="18" max="18" width="14.28515625" style="2" customWidth="1"/>
    <col min="19" max="19" width="7.28515625" style="2" bestFit="1" customWidth="1"/>
    <col min="20" max="20" width="14.42578125" style="2" hidden="1" customWidth="1"/>
    <col min="21" max="21" width="5" style="2" hidden="1" customWidth="1"/>
    <col min="22" max="26" width="0" style="2" hidden="1" customWidth="1"/>
    <col min="27" max="27" width="18.85546875" style="2" hidden="1" customWidth="1"/>
    <col min="28" max="28" width="7.85546875" style="2" hidden="1" customWidth="1"/>
    <col min="29" max="29" width="0" style="2" hidden="1" customWidth="1"/>
    <col min="30" max="256" width="9" style="2"/>
    <col min="257" max="257" width="5" style="2" bestFit="1" customWidth="1"/>
    <col min="258" max="258" width="22.85546875" style="2" customWidth="1"/>
    <col min="259" max="259" width="15.42578125" style="2" customWidth="1"/>
    <col min="260" max="260" width="14.5703125" style="2" customWidth="1"/>
    <col min="261" max="261" width="11.28515625" style="2" customWidth="1"/>
    <col min="262" max="262" width="5.85546875" style="2" customWidth="1"/>
    <col min="263" max="263" width="11.85546875" style="2" bestFit="1" customWidth="1"/>
    <col min="264" max="264" width="10.42578125" style="2" customWidth="1"/>
    <col min="265" max="265" width="5.5703125" style="2" customWidth="1"/>
    <col min="266" max="266" width="7.5703125" style="2" customWidth="1"/>
    <col min="267" max="267" width="13.140625" style="2" bestFit="1" customWidth="1"/>
    <col min="268" max="269" width="7" style="2" customWidth="1"/>
    <col min="270" max="270" width="11.140625" style="2" customWidth="1"/>
    <col min="271" max="271" width="12.5703125" style="2" bestFit="1" customWidth="1"/>
    <col min="272" max="272" width="10.42578125" style="2" customWidth="1"/>
    <col min="273" max="273" width="7.42578125" style="2" customWidth="1"/>
    <col min="274" max="274" width="15.85546875" style="2" bestFit="1" customWidth="1"/>
    <col min="275" max="275" width="5.85546875" style="2" customWidth="1"/>
    <col min="276" max="282" width="0" style="2" hidden="1" customWidth="1"/>
    <col min="283" max="512" width="9" style="2"/>
    <col min="513" max="513" width="5" style="2" bestFit="1" customWidth="1"/>
    <col min="514" max="514" width="22.85546875" style="2" customWidth="1"/>
    <col min="515" max="515" width="15.42578125" style="2" customWidth="1"/>
    <col min="516" max="516" width="14.5703125" style="2" customWidth="1"/>
    <col min="517" max="517" width="11.28515625" style="2" customWidth="1"/>
    <col min="518" max="518" width="5.85546875" style="2" customWidth="1"/>
    <col min="519" max="519" width="11.85546875" style="2" bestFit="1" customWidth="1"/>
    <col min="520" max="520" width="10.42578125" style="2" customWidth="1"/>
    <col min="521" max="521" width="5.5703125" style="2" customWidth="1"/>
    <col min="522" max="522" width="7.5703125" style="2" customWidth="1"/>
    <col min="523" max="523" width="13.140625" style="2" bestFit="1" customWidth="1"/>
    <col min="524" max="525" width="7" style="2" customWidth="1"/>
    <col min="526" max="526" width="11.140625" style="2" customWidth="1"/>
    <col min="527" max="527" width="12.5703125" style="2" bestFit="1" customWidth="1"/>
    <col min="528" max="528" width="10.42578125" style="2" customWidth="1"/>
    <col min="529" max="529" width="7.42578125" style="2" customWidth="1"/>
    <col min="530" max="530" width="15.85546875" style="2" bestFit="1" customWidth="1"/>
    <col min="531" max="531" width="5.85546875" style="2" customWidth="1"/>
    <col min="532" max="538" width="0" style="2" hidden="1" customWidth="1"/>
    <col min="539" max="768" width="9" style="2"/>
    <col min="769" max="769" width="5" style="2" bestFit="1" customWidth="1"/>
    <col min="770" max="770" width="22.85546875" style="2" customWidth="1"/>
    <col min="771" max="771" width="15.42578125" style="2" customWidth="1"/>
    <col min="772" max="772" width="14.5703125" style="2" customWidth="1"/>
    <col min="773" max="773" width="11.28515625" style="2" customWidth="1"/>
    <col min="774" max="774" width="5.85546875" style="2" customWidth="1"/>
    <col min="775" max="775" width="11.85546875" style="2" bestFit="1" customWidth="1"/>
    <col min="776" max="776" width="10.42578125" style="2" customWidth="1"/>
    <col min="777" max="777" width="5.5703125" style="2" customWidth="1"/>
    <col min="778" max="778" width="7.5703125" style="2" customWidth="1"/>
    <col min="779" max="779" width="13.140625" style="2" bestFit="1" customWidth="1"/>
    <col min="780" max="781" width="7" style="2" customWidth="1"/>
    <col min="782" max="782" width="11.140625" style="2" customWidth="1"/>
    <col min="783" max="783" width="12.5703125" style="2" bestFit="1" customWidth="1"/>
    <col min="784" max="784" width="10.42578125" style="2" customWidth="1"/>
    <col min="785" max="785" width="7.42578125" style="2" customWidth="1"/>
    <col min="786" max="786" width="15.85546875" style="2" bestFit="1" customWidth="1"/>
    <col min="787" max="787" width="5.85546875" style="2" customWidth="1"/>
    <col min="788" max="794" width="0" style="2" hidden="1" customWidth="1"/>
    <col min="795" max="1024" width="9" style="2"/>
    <col min="1025" max="1025" width="5" style="2" bestFit="1" customWidth="1"/>
    <col min="1026" max="1026" width="22.85546875" style="2" customWidth="1"/>
    <col min="1027" max="1027" width="15.42578125" style="2" customWidth="1"/>
    <col min="1028" max="1028" width="14.5703125" style="2" customWidth="1"/>
    <col min="1029" max="1029" width="11.28515625" style="2" customWidth="1"/>
    <col min="1030" max="1030" width="5.85546875" style="2" customWidth="1"/>
    <col min="1031" max="1031" width="11.85546875" style="2" bestFit="1" customWidth="1"/>
    <col min="1032" max="1032" width="10.42578125" style="2" customWidth="1"/>
    <col min="1033" max="1033" width="5.5703125" style="2" customWidth="1"/>
    <col min="1034" max="1034" width="7.5703125" style="2" customWidth="1"/>
    <col min="1035" max="1035" width="13.140625" style="2" bestFit="1" customWidth="1"/>
    <col min="1036" max="1037" width="7" style="2" customWidth="1"/>
    <col min="1038" max="1038" width="11.140625" style="2" customWidth="1"/>
    <col min="1039" max="1039" width="12.5703125" style="2" bestFit="1" customWidth="1"/>
    <col min="1040" max="1040" width="10.42578125" style="2" customWidth="1"/>
    <col min="1041" max="1041" width="7.42578125" style="2" customWidth="1"/>
    <col min="1042" max="1042" width="15.85546875" style="2" bestFit="1" customWidth="1"/>
    <col min="1043" max="1043" width="5.85546875" style="2" customWidth="1"/>
    <col min="1044" max="1050" width="0" style="2" hidden="1" customWidth="1"/>
    <col min="1051" max="1280" width="9" style="2"/>
    <col min="1281" max="1281" width="5" style="2" bestFit="1" customWidth="1"/>
    <col min="1282" max="1282" width="22.85546875" style="2" customWidth="1"/>
    <col min="1283" max="1283" width="15.42578125" style="2" customWidth="1"/>
    <col min="1284" max="1284" width="14.5703125" style="2" customWidth="1"/>
    <col min="1285" max="1285" width="11.28515625" style="2" customWidth="1"/>
    <col min="1286" max="1286" width="5.85546875" style="2" customWidth="1"/>
    <col min="1287" max="1287" width="11.85546875" style="2" bestFit="1" customWidth="1"/>
    <col min="1288" max="1288" width="10.42578125" style="2" customWidth="1"/>
    <col min="1289" max="1289" width="5.5703125" style="2" customWidth="1"/>
    <col min="1290" max="1290" width="7.5703125" style="2" customWidth="1"/>
    <col min="1291" max="1291" width="13.140625" style="2" bestFit="1" customWidth="1"/>
    <col min="1292" max="1293" width="7" style="2" customWidth="1"/>
    <col min="1294" max="1294" width="11.140625" style="2" customWidth="1"/>
    <col min="1295" max="1295" width="12.5703125" style="2" bestFit="1" customWidth="1"/>
    <col min="1296" max="1296" width="10.42578125" style="2" customWidth="1"/>
    <col min="1297" max="1297" width="7.42578125" style="2" customWidth="1"/>
    <col min="1298" max="1298" width="15.85546875" style="2" bestFit="1" customWidth="1"/>
    <col min="1299" max="1299" width="5.85546875" style="2" customWidth="1"/>
    <col min="1300" max="1306" width="0" style="2" hidden="1" customWidth="1"/>
    <col min="1307" max="1536" width="9" style="2"/>
    <col min="1537" max="1537" width="5" style="2" bestFit="1" customWidth="1"/>
    <col min="1538" max="1538" width="22.85546875" style="2" customWidth="1"/>
    <col min="1539" max="1539" width="15.42578125" style="2" customWidth="1"/>
    <col min="1540" max="1540" width="14.5703125" style="2" customWidth="1"/>
    <col min="1541" max="1541" width="11.28515625" style="2" customWidth="1"/>
    <col min="1542" max="1542" width="5.85546875" style="2" customWidth="1"/>
    <col min="1543" max="1543" width="11.85546875" style="2" bestFit="1" customWidth="1"/>
    <col min="1544" max="1544" width="10.42578125" style="2" customWidth="1"/>
    <col min="1545" max="1545" width="5.5703125" style="2" customWidth="1"/>
    <col min="1546" max="1546" width="7.5703125" style="2" customWidth="1"/>
    <col min="1547" max="1547" width="13.140625" style="2" bestFit="1" customWidth="1"/>
    <col min="1548" max="1549" width="7" style="2" customWidth="1"/>
    <col min="1550" max="1550" width="11.140625" style="2" customWidth="1"/>
    <col min="1551" max="1551" width="12.5703125" style="2" bestFit="1" customWidth="1"/>
    <col min="1552" max="1552" width="10.42578125" style="2" customWidth="1"/>
    <col min="1553" max="1553" width="7.42578125" style="2" customWidth="1"/>
    <col min="1554" max="1554" width="15.85546875" style="2" bestFit="1" customWidth="1"/>
    <col min="1555" max="1555" width="5.85546875" style="2" customWidth="1"/>
    <col min="1556" max="1562" width="0" style="2" hidden="1" customWidth="1"/>
    <col min="1563" max="1792" width="9" style="2"/>
    <col min="1793" max="1793" width="5" style="2" bestFit="1" customWidth="1"/>
    <col min="1794" max="1794" width="22.85546875" style="2" customWidth="1"/>
    <col min="1795" max="1795" width="15.42578125" style="2" customWidth="1"/>
    <col min="1796" max="1796" width="14.5703125" style="2" customWidth="1"/>
    <col min="1797" max="1797" width="11.28515625" style="2" customWidth="1"/>
    <col min="1798" max="1798" width="5.85546875" style="2" customWidth="1"/>
    <col min="1799" max="1799" width="11.85546875" style="2" bestFit="1" customWidth="1"/>
    <col min="1800" max="1800" width="10.42578125" style="2" customWidth="1"/>
    <col min="1801" max="1801" width="5.5703125" style="2" customWidth="1"/>
    <col min="1802" max="1802" width="7.5703125" style="2" customWidth="1"/>
    <col min="1803" max="1803" width="13.140625" style="2" bestFit="1" customWidth="1"/>
    <col min="1804" max="1805" width="7" style="2" customWidth="1"/>
    <col min="1806" max="1806" width="11.140625" style="2" customWidth="1"/>
    <col min="1807" max="1807" width="12.5703125" style="2" bestFit="1" customWidth="1"/>
    <col min="1808" max="1808" width="10.42578125" style="2" customWidth="1"/>
    <col min="1809" max="1809" width="7.42578125" style="2" customWidth="1"/>
    <col min="1810" max="1810" width="15.85546875" style="2" bestFit="1" customWidth="1"/>
    <col min="1811" max="1811" width="5.85546875" style="2" customWidth="1"/>
    <col min="1812" max="1818" width="0" style="2" hidden="1" customWidth="1"/>
    <col min="1819" max="2048" width="9" style="2"/>
    <col min="2049" max="2049" width="5" style="2" bestFit="1" customWidth="1"/>
    <col min="2050" max="2050" width="22.85546875" style="2" customWidth="1"/>
    <col min="2051" max="2051" width="15.42578125" style="2" customWidth="1"/>
    <col min="2052" max="2052" width="14.5703125" style="2" customWidth="1"/>
    <col min="2053" max="2053" width="11.28515625" style="2" customWidth="1"/>
    <col min="2054" max="2054" width="5.85546875" style="2" customWidth="1"/>
    <col min="2055" max="2055" width="11.85546875" style="2" bestFit="1" customWidth="1"/>
    <col min="2056" max="2056" width="10.42578125" style="2" customWidth="1"/>
    <col min="2057" max="2057" width="5.5703125" style="2" customWidth="1"/>
    <col min="2058" max="2058" width="7.5703125" style="2" customWidth="1"/>
    <col min="2059" max="2059" width="13.140625" style="2" bestFit="1" customWidth="1"/>
    <col min="2060" max="2061" width="7" style="2" customWidth="1"/>
    <col min="2062" max="2062" width="11.140625" style="2" customWidth="1"/>
    <col min="2063" max="2063" width="12.5703125" style="2" bestFit="1" customWidth="1"/>
    <col min="2064" max="2064" width="10.42578125" style="2" customWidth="1"/>
    <col min="2065" max="2065" width="7.42578125" style="2" customWidth="1"/>
    <col min="2066" max="2066" width="15.85546875" style="2" bestFit="1" customWidth="1"/>
    <col min="2067" max="2067" width="5.85546875" style="2" customWidth="1"/>
    <col min="2068" max="2074" width="0" style="2" hidden="1" customWidth="1"/>
    <col min="2075" max="2304" width="9" style="2"/>
    <col min="2305" max="2305" width="5" style="2" bestFit="1" customWidth="1"/>
    <col min="2306" max="2306" width="22.85546875" style="2" customWidth="1"/>
    <col min="2307" max="2307" width="15.42578125" style="2" customWidth="1"/>
    <col min="2308" max="2308" width="14.5703125" style="2" customWidth="1"/>
    <col min="2309" max="2309" width="11.28515625" style="2" customWidth="1"/>
    <col min="2310" max="2310" width="5.85546875" style="2" customWidth="1"/>
    <col min="2311" max="2311" width="11.85546875" style="2" bestFit="1" customWidth="1"/>
    <col min="2312" max="2312" width="10.42578125" style="2" customWidth="1"/>
    <col min="2313" max="2313" width="5.5703125" style="2" customWidth="1"/>
    <col min="2314" max="2314" width="7.5703125" style="2" customWidth="1"/>
    <col min="2315" max="2315" width="13.140625" style="2" bestFit="1" customWidth="1"/>
    <col min="2316" max="2317" width="7" style="2" customWidth="1"/>
    <col min="2318" max="2318" width="11.140625" style="2" customWidth="1"/>
    <col min="2319" max="2319" width="12.5703125" style="2" bestFit="1" customWidth="1"/>
    <col min="2320" max="2320" width="10.42578125" style="2" customWidth="1"/>
    <col min="2321" max="2321" width="7.42578125" style="2" customWidth="1"/>
    <col min="2322" max="2322" width="15.85546875" style="2" bestFit="1" customWidth="1"/>
    <col min="2323" max="2323" width="5.85546875" style="2" customWidth="1"/>
    <col min="2324" max="2330" width="0" style="2" hidden="1" customWidth="1"/>
    <col min="2331" max="2560" width="9" style="2"/>
    <col min="2561" max="2561" width="5" style="2" bestFit="1" customWidth="1"/>
    <col min="2562" max="2562" width="22.85546875" style="2" customWidth="1"/>
    <col min="2563" max="2563" width="15.42578125" style="2" customWidth="1"/>
    <col min="2564" max="2564" width="14.5703125" style="2" customWidth="1"/>
    <col min="2565" max="2565" width="11.28515625" style="2" customWidth="1"/>
    <col min="2566" max="2566" width="5.85546875" style="2" customWidth="1"/>
    <col min="2567" max="2567" width="11.85546875" style="2" bestFit="1" customWidth="1"/>
    <col min="2568" max="2568" width="10.42578125" style="2" customWidth="1"/>
    <col min="2569" max="2569" width="5.5703125" style="2" customWidth="1"/>
    <col min="2570" max="2570" width="7.5703125" style="2" customWidth="1"/>
    <col min="2571" max="2571" width="13.140625" style="2" bestFit="1" customWidth="1"/>
    <col min="2572" max="2573" width="7" style="2" customWidth="1"/>
    <col min="2574" max="2574" width="11.140625" style="2" customWidth="1"/>
    <col min="2575" max="2575" width="12.5703125" style="2" bestFit="1" customWidth="1"/>
    <col min="2576" max="2576" width="10.42578125" style="2" customWidth="1"/>
    <col min="2577" max="2577" width="7.42578125" style="2" customWidth="1"/>
    <col min="2578" max="2578" width="15.85546875" style="2" bestFit="1" customWidth="1"/>
    <col min="2579" max="2579" width="5.85546875" style="2" customWidth="1"/>
    <col min="2580" max="2586" width="0" style="2" hidden="1" customWidth="1"/>
    <col min="2587" max="2816" width="9" style="2"/>
    <col min="2817" max="2817" width="5" style="2" bestFit="1" customWidth="1"/>
    <col min="2818" max="2818" width="22.85546875" style="2" customWidth="1"/>
    <col min="2819" max="2819" width="15.42578125" style="2" customWidth="1"/>
    <col min="2820" max="2820" width="14.5703125" style="2" customWidth="1"/>
    <col min="2821" max="2821" width="11.28515625" style="2" customWidth="1"/>
    <col min="2822" max="2822" width="5.85546875" style="2" customWidth="1"/>
    <col min="2823" max="2823" width="11.85546875" style="2" bestFit="1" customWidth="1"/>
    <col min="2824" max="2824" width="10.42578125" style="2" customWidth="1"/>
    <col min="2825" max="2825" width="5.5703125" style="2" customWidth="1"/>
    <col min="2826" max="2826" width="7.5703125" style="2" customWidth="1"/>
    <col min="2827" max="2827" width="13.140625" style="2" bestFit="1" customWidth="1"/>
    <col min="2828" max="2829" width="7" style="2" customWidth="1"/>
    <col min="2830" max="2830" width="11.140625" style="2" customWidth="1"/>
    <col min="2831" max="2831" width="12.5703125" style="2" bestFit="1" customWidth="1"/>
    <col min="2832" max="2832" width="10.42578125" style="2" customWidth="1"/>
    <col min="2833" max="2833" width="7.42578125" style="2" customWidth="1"/>
    <col min="2834" max="2834" width="15.85546875" style="2" bestFit="1" customWidth="1"/>
    <col min="2835" max="2835" width="5.85546875" style="2" customWidth="1"/>
    <col min="2836" max="2842" width="0" style="2" hidden="1" customWidth="1"/>
    <col min="2843" max="3072" width="9" style="2"/>
    <col min="3073" max="3073" width="5" style="2" bestFit="1" customWidth="1"/>
    <col min="3074" max="3074" width="22.85546875" style="2" customWidth="1"/>
    <col min="3075" max="3075" width="15.42578125" style="2" customWidth="1"/>
    <col min="3076" max="3076" width="14.5703125" style="2" customWidth="1"/>
    <col min="3077" max="3077" width="11.28515625" style="2" customWidth="1"/>
    <col min="3078" max="3078" width="5.85546875" style="2" customWidth="1"/>
    <col min="3079" max="3079" width="11.85546875" style="2" bestFit="1" customWidth="1"/>
    <col min="3080" max="3080" width="10.42578125" style="2" customWidth="1"/>
    <col min="3081" max="3081" width="5.5703125" style="2" customWidth="1"/>
    <col min="3082" max="3082" width="7.5703125" style="2" customWidth="1"/>
    <col min="3083" max="3083" width="13.140625" style="2" bestFit="1" customWidth="1"/>
    <col min="3084" max="3085" width="7" style="2" customWidth="1"/>
    <col min="3086" max="3086" width="11.140625" style="2" customWidth="1"/>
    <col min="3087" max="3087" width="12.5703125" style="2" bestFit="1" customWidth="1"/>
    <col min="3088" max="3088" width="10.42578125" style="2" customWidth="1"/>
    <col min="3089" max="3089" width="7.42578125" style="2" customWidth="1"/>
    <col min="3090" max="3090" width="15.85546875" style="2" bestFit="1" customWidth="1"/>
    <col min="3091" max="3091" width="5.85546875" style="2" customWidth="1"/>
    <col min="3092" max="3098" width="0" style="2" hidden="1" customWidth="1"/>
    <col min="3099" max="3328" width="9" style="2"/>
    <col min="3329" max="3329" width="5" style="2" bestFit="1" customWidth="1"/>
    <col min="3330" max="3330" width="22.85546875" style="2" customWidth="1"/>
    <col min="3331" max="3331" width="15.42578125" style="2" customWidth="1"/>
    <col min="3332" max="3332" width="14.5703125" style="2" customWidth="1"/>
    <col min="3333" max="3333" width="11.28515625" style="2" customWidth="1"/>
    <col min="3334" max="3334" width="5.85546875" style="2" customWidth="1"/>
    <col min="3335" max="3335" width="11.85546875" style="2" bestFit="1" customWidth="1"/>
    <col min="3336" max="3336" width="10.42578125" style="2" customWidth="1"/>
    <col min="3337" max="3337" width="5.5703125" style="2" customWidth="1"/>
    <col min="3338" max="3338" width="7.5703125" style="2" customWidth="1"/>
    <col min="3339" max="3339" width="13.140625" style="2" bestFit="1" customWidth="1"/>
    <col min="3340" max="3341" width="7" style="2" customWidth="1"/>
    <col min="3342" max="3342" width="11.140625" style="2" customWidth="1"/>
    <col min="3343" max="3343" width="12.5703125" style="2" bestFit="1" customWidth="1"/>
    <col min="3344" max="3344" width="10.42578125" style="2" customWidth="1"/>
    <col min="3345" max="3345" width="7.42578125" style="2" customWidth="1"/>
    <col min="3346" max="3346" width="15.85546875" style="2" bestFit="1" customWidth="1"/>
    <col min="3347" max="3347" width="5.85546875" style="2" customWidth="1"/>
    <col min="3348" max="3354" width="0" style="2" hidden="1" customWidth="1"/>
    <col min="3355" max="3584" width="9" style="2"/>
    <col min="3585" max="3585" width="5" style="2" bestFit="1" customWidth="1"/>
    <col min="3586" max="3586" width="22.85546875" style="2" customWidth="1"/>
    <col min="3587" max="3587" width="15.42578125" style="2" customWidth="1"/>
    <col min="3588" max="3588" width="14.5703125" style="2" customWidth="1"/>
    <col min="3589" max="3589" width="11.28515625" style="2" customWidth="1"/>
    <col min="3590" max="3590" width="5.85546875" style="2" customWidth="1"/>
    <col min="3591" max="3591" width="11.85546875" style="2" bestFit="1" customWidth="1"/>
    <col min="3592" max="3592" width="10.42578125" style="2" customWidth="1"/>
    <col min="3593" max="3593" width="5.5703125" style="2" customWidth="1"/>
    <col min="3594" max="3594" width="7.5703125" style="2" customWidth="1"/>
    <col min="3595" max="3595" width="13.140625" style="2" bestFit="1" customWidth="1"/>
    <col min="3596" max="3597" width="7" style="2" customWidth="1"/>
    <col min="3598" max="3598" width="11.140625" style="2" customWidth="1"/>
    <col min="3599" max="3599" width="12.5703125" style="2" bestFit="1" customWidth="1"/>
    <col min="3600" max="3600" width="10.42578125" style="2" customWidth="1"/>
    <col min="3601" max="3601" width="7.42578125" style="2" customWidth="1"/>
    <col min="3602" max="3602" width="15.85546875" style="2" bestFit="1" customWidth="1"/>
    <col min="3603" max="3603" width="5.85546875" style="2" customWidth="1"/>
    <col min="3604" max="3610" width="0" style="2" hidden="1" customWidth="1"/>
    <col min="3611" max="3840" width="9" style="2"/>
    <col min="3841" max="3841" width="5" style="2" bestFit="1" customWidth="1"/>
    <col min="3842" max="3842" width="22.85546875" style="2" customWidth="1"/>
    <col min="3843" max="3843" width="15.42578125" style="2" customWidth="1"/>
    <col min="3844" max="3844" width="14.5703125" style="2" customWidth="1"/>
    <col min="3845" max="3845" width="11.28515625" style="2" customWidth="1"/>
    <col min="3846" max="3846" width="5.85546875" style="2" customWidth="1"/>
    <col min="3847" max="3847" width="11.85546875" style="2" bestFit="1" customWidth="1"/>
    <col min="3848" max="3848" width="10.42578125" style="2" customWidth="1"/>
    <col min="3849" max="3849" width="5.5703125" style="2" customWidth="1"/>
    <col min="3850" max="3850" width="7.5703125" style="2" customWidth="1"/>
    <col min="3851" max="3851" width="13.140625" style="2" bestFit="1" customWidth="1"/>
    <col min="3852" max="3853" width="7" style="2" customWidth="1"/>
    <col min="3854" max="3854" width="11.140625" style="2" customWidth="1"/>
    <col min="3855" max="3855" width="12.5703125" style="2" bestFit="1" customWidth="1"/>
    <col min="3856" max="3856" width="10.42578125" style="2" customWidth="1"/>
    <col min="3857" max="3857" width="7.42578125" style="2" customWidth="1"/>
    <col min="3858" max="3858" width="15.85546875" style="2" bestFit="1" customWidth="1"/>
    <col min="3859" max="3859" width="5.85546875" style="2" customWidth="1"/>
    <col min="3860" max="3866" width="0" style="2" hidden="1" customWidth="1"/>
    <col min="3867" max="4096" width="9" style="2"/>
    <col min="4097" max="4097" width="5" style="2" bestFit="1" customWidth="1"/>
    <col min="4098" max="4098" width="22.85546875" style="2" customWidth="1"/>
    <col min="4099" max="4099" width="15.42578125" style="2" customWidth="1"/>
    <col min="4100" max="4100" width="14.5703125" style="2" customWidth="1"/>
    <col min="4101" max="4101" width="11.28515625" style="2" customWidth="1"/>
    <col min="4102" max="4102" width="5.85546875" style="2" customWidth="1"/>
    <col min="4103" max="4103" width="11.85546875" style="2" bestFit="1" customWidth="1"/>
    <col min="4104" max="4104" width="10.42578125" style="2" customWidth="1"/>
    <col min="4105" max="4105" width="5.5703125" style="2" customWidth="1"/>
    <col min="4106" max="4106" width="7.5703125" style="2" customWidth="1"/>
    <col min="4107" max="4107" width="13.140625" style="2" bestFit="1" customWidth="1"/>
    <col min="4108" max="4109" width="7" style="2" customWidth="1"/>
    <col min="4110" max="4110" width="11.140625" style="2" customWidth="1"/>
    <col min="4111" max="4111" width="12.5703125" style="2" bestFit="1" customWidth="1"/>
    <col min="4112" max="4112" width="10.42578125" style="2" customWidth="1"/>
    <col min="4113" max="4113" width="7.42578125" style="2" customWidth="1"/>
    <col min="4114" max="4114" width="15.85546875" style="2" bestFit="1" customWidth="1"/>
    <col min="4115" max="4115" width="5.85546875" style="2" customWidth="1"/>
    <col min="4116" max="4122" width="0" style="2" hidden="1" customWidth="1"/>
    <col min="4123" max="4352" width="9" style="2"/>
    <col min="4353" max="4353" width="5" style="2" bestFit="1" customWidth="1"/>
    <col min="4354" max="4354" width="22.85546875" style="2" customWidth="1"/>
    <col min="4355" max="4355" width="15.42578125" style="2" customWidth="1"/>
    <col min="4356" max="4356" width="14.5703125" style="2" customWidth="1"/>
    <col min="4357" max="4357" width="11.28515625" style="2" customWidth="1"/>
    <col min="4358" max="4358" width="5.85546875" style="2" customWidth="1"/>
    <col min="4359" max="4359" width="11.85546875" style="2" bestFit="1" customWidth="1"/>
    <col min="4360" max="4360" width="10.42578125" style="2" customWidth="1"/>
    <col min="4361" max="4361" width="5.5703125" style="2" customWidth="1"/>
    <col min="4362" max="4362" width="7.5703125" style="2" customWidth="1"/>
    <col min="4363" max="4363" width="13.140625" style="2" bestFit="1" customWidth="1"/>
    <col min="4364" max="4365" width="7" style="2" customWidth="1"/>
    <col min="4366" max="4366" width="11.140625" style="2" customWidth="1"/>
    <col min="4367" max="4367" width="12.5703125" style="2" bestFit="1" customWidth="1"/>
    <col min="4368" max="4368" width="10.42578125" style="2" customWidth="1"/>
    <col min="4369" max="4369" width="7.42578125" style="2" customWidth="1"/>
    <col min="4370" max="4370" width="15.85546875" style="2" bestFit="1" customWidth="1"/>
    <col min="4371" max="4371" width="5.85546875" style="2" customWidth="1"/>
    <col min="4372" max="4378" width="0" style="2" hidden="1" customWidth="1"/>
    <col min="4379" max="4608" width="9" style="2"/>
    <col min="4609" max="4609" width="5" style="2" bestFit="1" customWidth="1"/>
    <col min="4610" max="4610" width="22.85546875" style="2" customWidth="1"/>
    <col min="4611" max="4611" width="15.42578125" style="2" customWidth="1"/>
    <col min="4612" max="4612" width="14.5703125" style="2" customWidth="1"/>
    <col min="4613" max="4613" width="11.28515625" style="2" customWidth="1"/>
    <col min="4614" max="4614" width="5.85546875" style="2" customWidth="1"/>
    <col min="4615" max="4615" width="11.85546875" style="2" bestFit="1" customWidth="1"/>
    <col min="4616" max="4616" width="10.42578125" style="2" customWidth="1"/>
    <col min="4617" max="4617" width="5.5703125" style="2" customWidth="1"/>
    <col min="4618" max="4618" width="7.5703125" style="2" customWidth="1"/>
    <col min="4619" max="4619" width="13.140625" style="2" bestFit="1" customWidth="1"/>
    <col min="4620" max="4621" width="7" style="2" customWidth="1"/>
    <col min="4622" max="4622" width="11.140625" style="2" customWidth="1"/>
    <col min="4623" max="4623" width="12.5703125" style="2" bestFit="1" customWidth="1"/>
    <col min="4624" max="4624" width="10.42578125" style="2" customWidth="1"/>
    <col min="4625" max="4625" width="7.42578125" style="2" customWidth="1"/>
    <col min="4626" max="4626" width="15.85546875" style="2" bestFit="1" customWidth="1"/>
    <col min="4627" max="4627" width="5.85546875" style="2" customWidth="1"/>
    <col min="4628" max="4634" width="0" style="2" hidden="1" customWidth="1"/>
    <col min="4635" max="4864" width="9" style="2"/>
    <col min="4865" max="4865" width="5" style="2" bestFit="1" customWidth="1"/>
    <col min="4866" max="4866" width="22.85546875" style="2" customWidth="1"/>
    <col min="4867" max="4867" width="15.42578125" style="2" customWidth="1"/>
    <col min="4868" max="4868" width="14.5703125" style="2" customWidth="1"/>
    <col min="4869" max="4869" width="11.28515625" style="2" customWidth="1"/>
    <col min="4870" max="4870" width="5.85546875" style="2" customWidth="1"/>
    <col min="4871" max="4871" width="11.85546875" style="2" bestFit="1" customWidth="1"/>
    <col min="4872" max="4872" width="10.42578125" style="2" customWidth="1"/>
    <col min="4873" max="4873" width="5.5703125" style="2" customWidth="1"/>
    <col min="4874" max="4874" width="7.5703125" style="2" customWidth="1"/>
    <col min="4875" max="4875" width="13.140625" style="2" bestFit="1" customWidth="1"/>
    <col min="4876" max="4877" width="7" style="2" customWidth="1"/>
    <col min="4878" max="4878" width="11.140625" style="2" customWidth="1"/>
    <col min="4879" max="4879" width="12.5703125" style="2" bestFit="1" customWidth="1"/>
    <col min="4880" max="4880" width="10.42578125" style="2" customWidth="1"/>
    <col min="4881" max="4881" width="7.42578125" style="2" customWidth="1"/>
    <col min="4882" max="4882" width="15.85546875" style="2" bestFit="1" customWidth="1"/>
    <col min="4883" max="4883" width="5.85546875" style="2" customWidth="1"/>
    <col min="4884" max="4890" width="0" style="2" hidden="1" customWidth="1"/>
    <col min="4891" max="5120" width="9" style="2"/>
    <col min="5121" max="5121" width="5" style="2" bestFit="1" customWidth="1"/>
    <col min="5122" max="5122" width="22.85546875" style="2" customWidth="1"/>
    <col min="5123" max="5123" width="15.42578125" style="2" customWidth="1"/>
    <col min="5124" max="5124" width="14.5703125" style="2" customWidth="1"/>
    <col min="5125" max="5125" width="11.28515625" style="2" customWidth="1"/>
    <col min="5126" max="5126" width="5.85546875" style="2" customWidth="1"/>
    <col min="5127" max="5127" width="11.85546875" style="2" bestFit="1" customWidth="1"/>
    <col min="5128" max="5128" width="10.42578125" style="2" customWidth="1"/>
    <col min="5129" max="5129" width="5.5703125" style="2" customWidth="1"/>
    <col min="5130" max="5130" width="7.5703125" style="2" customWidth="1"/>
    <col min="5131" max="5131" width="13.140625" style="2" bestFit="1" customWidth="1"/>
    <col min="5132" max="5133" width="7" style="2" customWidth="1"/>
    <col min="5134" max="5134" width="11.140625" style="2" customWidth="1"/>
    <col min="5135" max="5135" width="12.5703125" style="2" bestFit="1" customWidth="1"/>
    <col min="5136" max="5136" width="10.42578125" style="2" customWidth="1"/>
    <col min="5137" max="5137" width="7.42578125" style="2" customWidth="1"/>
    <col min="5138" max="5138" width="15.85546875" style="2" bestFit="1" customWidth="1"/>
    <col min="5139" max="5139" width="5.85546875" style="2" customWidth="1"/>
    <col min="5140" max="5146" width="0" style="2" hidden="1" customWidth="1"/>
    <col min="5147" max="5376" width="9" style="2"/>
    <col min="5377" max="5377" width="5" style="2" bestFit="1" customWidth="1"/>
    <col min="5378" max="5378" width="22.85546875" style="2" customWidth="1"/>
    <col min="5379" max="5379" width="15.42578125" style="2" customWidth="1"/>
    <col min="5380" max="5380" width="14.5703125" style="2" customWidth="1"/>
    <col min="5381" max="5381" width="11.28515625" style="2" customWidth="1"/>
    <col min="5382" max="5382" width="5.85546875" style="2" customWidth="1"/>
    <col min="5383" max="5383" width="11.85546875" style="2" bestFit="1" customWidth="1"/>
    <col min="5384" max="5384" width="10.42578125" style="2" customWidth="1"/>
    <col min="5385" max="5385" width="5.5703125" style="2" customWidth="1"/>
    <col min="5386" max="5386" width="7.5703125" style="2" customWidth="1"/>
    <col min="5387" max="5387" width="13.140625" style="2" bestFit="1" customWidth="1"/>
    <col min="5388" max="5389" width="7" style="2" customWidth="1"/>
    <col min="5390" max="5390" width="11.140625" style="2" customWidth="1"/>
    <col min="5391" max="5391" width="12.5703125" style="2" bestFit="1" customWidth="1"/>
    <col min="5392" max="5392" width="10.42578125" style="2" customWidth="1"/>
    <col min="5393" max="5393" width="7.42578125" style="2" customWidth="1"/>
    <col min="5394" max="5394" width="15.85546875" style="2" bestFit="1" customWidth="1"/>
    <col min="5395" max="5395" width="5.85546875" style="2" customWidth="1"/>
    <col min="5396" max="5402" width="0" style="2" hidden="1" customWidth="1"/>
    <col min="5403" max="5632" width="9" style="2"/>
    <col min="5633" max="5633" width="5" style="2" bestFit="1" customWidth="1"/>
    <col min="5634" max="5634" width="22.85546875" style="2" customWidth="1"/>
    <col min="5635" max="5635" width="15.42578125" style="2" customWidth="1"/>
    <col min="5636" max="5636" width="14.5703125" style="2" customWidth="1"/>
    <col min="5637" max="5637" width="11.28515625" style="2" customWidth="1"/>
    <col min="5638" max="5638" width="5.85546875" style="2" customWidth="1"/>
    <col min="5639" max="5639" width="11.85546875" style="2" bestFit="1" customWidth="1"/>
    <col min="5640" max="5640" width="10.42578125" style="2" customWidth="1"/>
    <col min="5641" max="5641" width="5.5703125" style="2" customWidth="1"/>
    <col min="5642" max="5642" width="7.5703125" style="2" customWidth="1"/>
    <col min="5643" max="5643" width="13.140625" style="2" bestFit="1" customWidth="1"/>
    <col min="5644" max="5645" width="7" style="2" customWidth="1"/>
    <col min="5646" max="5646" width="11.140625" style="2" customWidth="1"/>
    <col min="5647" max="5647" width="12.5703125" style="2" bestFit="1" customWidth="1"/>
    <col min="5648" max="5648" width="10.42578125" style="2" customWidth="1"/>
    <col min="5649" max="5649" width="7.42578125" style="2" customWidth="1"/>
    <col min="5650" max="5650" width="15.85546875" style="2" bestFit="1" customWidth="1"/>
    <col min="5651" max="5651" width="5.85546875" style="2" customWidth="1"/>
    <col min="5652" max="5658" width="0" style="2" hidden="1" customWidth="1"/>
    <col min="5659" max="5888" width="9" style="2"/>
    <col min="5889" max="5889" width="5" style="2" bestFit="1" customWidth="1"/>
    <col min="5890" max="5890" width="22.85546875" style="2" customWidth="1"/>
    <col min="5891" max="5891" width="15.42578125" style="2" customWidth="1"/>
    <col min="5892" max="5892" width="14.5703125" style="2" customWidth="1"/>
    <col min="5893" max="5893" width="11.28515625" style="2" customWidth="1"/>
    <col min="5894" max="5894" width="5.85546875" style="2" customWidth="1"/>
    <col min="5895" max="5895" width="11.85546875" style="2" bestFit="1" customWidth="1"/>
    <col min="5896" max="5896" width="10.42578125" style="2" customWidth="1"/>
    <col min="5897" max="5897" width="5.5703125" style="2" customWidth="1"/>
    <col min="5898" max="5898" width="7.5703125" style="2" customWidth="1"/>
    <col min="5899" max="5899" width="13.140625" style="2" bestFit="1" customWidth="1"/>
    <col min="5900" max="5901" width="7" style="2" customWidth="1"/>
    <col min="5902" max="5902" width="11.140625" style="2" customWidth="1"/>
    <col min="5903" max="5903" width="12.5703125" style="2" bestFit="1" customWidth="1"/>
    <col min="5904" max="5904" width="10.42578125" style="2" customWidth="1"/>
    <col min="5905" max="5905" width="7.42578125" style="2" customWidth="1"/>
    <col min="5906" max="5906" width="15.85546875" style="2" bestFit="1" customWidth="1"/>
    <col min="5907" max="5907" width="5.85546875" style="2" customWidth="1"/>
    <col min="5908" max="5914" width="0" style="2" hidden="1" customWidth="1"/>
    <col min="5915" max="6144" width="9" style="2"/>
    <col min="6145" max="6145" width="5" style="2" bestFit="1" customWidth="1"/>
    <col min="6146" max="6146" width="22.85546875" style="2" customWidth="1"/>
    <col min="6147" max="6147" width="15.42578125" style="2" customWidth="1"/>
    <col min="6148" max="6148" width="14.5703125" style="2" customWidth="1"/>
    <col min="6149" max="6149" width="11.28515625" style="2" customWidth="1"/>
    <col min="6150" max="6150" width="5.85546875" style="2" customWidth="1"/>
    <col min="6151" max="6151" width="11.85546875" style="2" bestFit="1" customWidth="1"/>
    <col min="6152" max="6152" width="10.42578125" style="2" customWidth="1"/>
    <col min="6153" max="6153" width="5.5703125" style="2" customWidth="1"/>
    <col min="6154" max="6154" width="7.5703125" style="2" customWidth="1"/>
    <col min="6155" max="6155" width="13.140625" style="2" bestFit="1" customWidth="1"/>
    <col min="6156" max="6157" width="7" style="2" customWidth="1"/>
    <col min="6158" max="6158" width="11.140625" style="2" customWidth="1"/>
    <col min="6159" max="6159" width="12.5703125" style="2" bestFit="1" customWidth="1"/>
    <col min="6160" max="6160" width="10.42578125" style="2" customWidth="1"/>
    <col min="6161" max="6161" width="7.42578125" style="2" customWidth="1"/>
    <col min="6162" max="6162" width="15.85546875" style="2" bestFit="1" customWidth="1"/>
    <col min="6163" max="6163" width="5.85546875" style="2" customWidth="1"/>
    <col min="6164" max="6170" width="0" style="2" hidden="1" customWidth="1"/>
    <col min="6171" max="6400" width="9" style="2"/>
    <col min="6401" max="6401" width="5" style="2" bestFit="1" customWidth="1"/>
    <col min="6402" max="6402" width="22.85546875" style="2" customWidth="1"/>
    <col min="6403" max="6403" width="15.42578125" style="2" customWidth="1"/>
    <col min="6404" max="6404" width="14.5703125" style="2" customWidth="1"/>
    <col min="6405" max="6405" width="11.28515625" style="2" customWidth="1"/>
    <col min="6406" max="6406" width="5.85546875" style="2" customWidth="1"/>
    <col min="6407" max="6407" width="11.85546875" style="2" bestFit="1" customWidth="1"/>
    <col min="6408" max="6408" width="10.42578125" style="2" customWidth="1"/>
    <col min="6409" max="6409" width="5.5703125" style="2" customWidth="1"/>
    <col min="6410" max="6410" width="7.5703125" style="2" customWidth="1"/>
    <col min="6411" max="6411" width="13.140625" style="2" bestFit="1" customWidth="1"/>
    <col min="6412" max="6413" width="7" style="2" customWidth="1"/>
    <col min="6414" max="6414" width="11.140625" style="2" customWidth="1"/>
    <col min="6415" max="6415" width="12.5703125" style="2" bestFit="1" customWidth="1"/>
    <col min="6416" max="6416" width="10.42578125" style="2" customWidth="1"/>
    <col min="6417" max="6417" width="7.42578125" style="2" customWidth="1"/>
    <col min="6418" max="6418" width="15.85546875" style="2" bestFit="1" customWidth="1"/>
    <col min="6419" max="6419" width="5.85546875" style="2" customWidth="1"/>
    <col min="6420" max="6426" width="0" style="2" hidden="1" customWidth="1"/>
    <col min="6427" max="6656" width="9" style="2"/>
    <col min="6657" max="6657" width="5" style="2" bestFit="1" customWidth="1"/>
    <col min="6658" max="6658" width="22.85546875" style="2" customWidth="1"/>
    <col min="6659" max="6659" width="15.42578125" style="2" customWidth="1"/>
    <col min="6660" max="6660" width="14.5703125" style="2" customWidth="1"/>
    <col min="6661" max="6661" width="11.28515625" style="2" customWidth="1"/>
    <col min="6662" max="6662" width="5.85546875" style="2" customWidth="1"/>
    <col min="6663" max="6663" width="11.85546875" style="2" bestFit="1" customWidth="1"/>
    <col min="6664" max="6664" width="10.42578125" style="2" customWidth="1"/>
    <col min="6665" max="6665" width="5.5703125" style="2" customWidth="1"/>
    <col min="6666" max="6666" width="7.5703125" style="2" customWidth="1"/>
    <col min="6667" max="6667" width="13.140625" style="2" bestFit="1" customWidth="1"/>
    <col min="6668" max="6669" width="7" style="2" customWidth="1"/>
    <col min="6670" max="6670" width="11.140625" style="2" customWidth="1"/>
    <col min="6671" max="6671" width="12.5703125" style="2" bestFit="1" customWidth="1"/>
    <col min="6672" max="6672" width="10.42578125" style="2" customWidth="1"/>
    <col min="6673" max="6673" width="7.42578125" style="2" customWidth="1"/>
    <col min="6674" max="6674" width="15.85546875" style="2" bestFit="1" customWidth="1"/>
    <col min="6675" max="6675" width="5.85546875" style="2" customWidth="1"/>
    <col min="6676" max="6682" width="0" style="2" hidden="1" customWidth="1"/>
    <col min="6683" max="6912" width="9" style="2"/>
    <col min="6913" max="6913" width="5" style="2" bestFit="1" customWidth="1"/>
    <col min="6914" max="6914" width="22.85546875" style="2" customWidth="1"/>
    <col min="6915" max="6915" width="15.42578125" style="2" customWidth="1"/>
    <col min="6916" max="6916" width="14.5703125" style="2" customWidth="1"/>
    <col min="6917" max="6917" width="11.28515625" style="2" customWidth="1"/>
    <col min="6918" max="6918" width="5.85546875" style="2" customWidth="1"/>
    <col min="6919" max="6919" width="11.85546875" style="2" bestFit="1" customWidth="1"/>
    <col min="6920" max="6920" width="10.42578125" style="2" customWidth="1"/>
    <col min="6921" max="6921" width="5.5703125" style="2" customWidth="1"/>
    <col min="6922" max="6922" width="7.5703125" style="2" customWidth="1"/>
    <col min="6923" max="6923" width="13.140625" style="2" bestFit="1" customWidth="1"/>
    <col min="6924" max="6925" width="7" style="2" customWidth="1"/>
    <col min="6926" max="6926" width="11.140625" style="2" customWidth="1"/>
    <col min="6927" max="6927" width="12.5703125" style="2" bestFit="1" customWidth="1"/>
    <col min="6928" max="6928" width="10.42578125" style="2" customWidth="1"/>
    <col min="6929" max="6929" width="7.42578125" style="2" customWidth="1"/>
    <col min="6930" max="6930" width="15.85546875" style="2" bestFit="1" customWidth="1"/>
    <col min="6931" max="6931" width="5.85546875" style="2" customWidth="1"/>
    <col min="6932" max="6938" width="0" style="2" hidden="1" customWidth="1"/>
    <col min="6939" max="7168" width="9" style="2"/>
    <col min="7169" max="7169" width="5" style="2" bestFit="1" customWidth="1"/>
    <col min="7170" max="7170" width="22.85546875" style="2" customWidth="1"/>
    <col min="7171" max="7171" width="15.42578125" style="2" customWidth="1"/>
    <col min="7172" max="7172" width="14.5703125" style="2" customWidth="1"/>
    <col min="7173" max="7173" width="11.28515625" style="2" customWidth="1"/>
    <col min="7174" max="7174" width="5.85546875" style="2" customWidth="1"/>
    <col min="7175" max="7175" width="11.85546875" style="2" bestFit="1" customWidth="1"/>
    <col min="7176" max="7176" width="10.42578125" style="2" customWidth="1"/>
    <col min="7177" max="7177" width="5.5703125" style="2" customWidth="1"/>
    <col min="7178" max="7178" width="7.5703125" style="2" customWidth="1"/>
    <col min="7179" max="7179" width="13.140625" style="2" bestFit="1" customWidth="1"/>
    <col min="7180" max="7181" width="7" style="2" customWidth="1"/>
    <col min="7182" max="7182" width="11.140625" style="2" customWidth="1"/>
    <col min="7183" max="7183" width="12.5703125" style="2" bestFit="1" customWidth="1"/>
    <col min="7184" max="7184" width="10.42578125" style="2" customWidth="1"/>
    <col min="7185" max="7185" width="7.42578125" style="2" customWidth="1"/>
    <col min="7186" max="7186" width="15.85546875" style="2" bestFit="1" customWidth="1"/>
    <col min="7187" max="7187" width="5.85546875" style="2" customWidth="1"/>
    <col min="7188" max="7194" width="0" style="2" hidden="1" customWidth="1"/>
    <col min="7195" max="7424" width="9" style="2"/>
    <col min="7425" max="7425" width="5" style="2" bestFit="1" customWidth="1"/>
    <col min="7426" max="7426" width="22.85546875" style="2" customWidth="1"/>
    <col min="7427" max="7427" width="15.42578125" style="2" customWidth="1"/>
    <col min="7428" max="7428" width="14.5703125" style="2" customWidth="1"/>
    <col min="7429" max="7429" width="11.28515625" style="2" customWidth="1"/>
    <col min="7430" max="7430" width="5.85546875" style="2" customWidth="1"/>
    <col min="7431" max="7431" width="11.85546875" style="2" bestFit="1" customWidth="1"/>
    <col min="7432" max="7432" width="10.42578125" style="2" customWidth="1"/>
    <col min="7433" max="7433" width="5.5703125" style="2" customWidth="1"/>
    <col min="7434" max="7434" width="7.5703125" style="2" customWidth="1"/>
    <col min="7435" max="7435" width="13.140625" style="2" bestFit="1" customWidth="1"/>
    <col min="7436" max="7437" width="7" style="2" customWidth="1"/>
    <col min="7438" max="7438" width="11.140625" style="2" customWidth="1"/>
    <col min="7439" max="7439" width="12.5703125" style="2" bestFit="1" customWidth="1"/>
    <col min="7440" max="7440" width="10.42578125" style="2" customWidth="1"/>
    <col min="7441" max="7441" width="7.42578125" style="2" customWidth="1"/>
    <col min="7442" max="7442" width="15.85546875" style="2" bestFit="1" customWidth="1"/>
    <col min="7443" max="7443" width="5.85546875" style="2" customWidth="1"/>
    <col min="7444" max="7450" width="0" style="2" hidden="1" customWidth="1"/>
    <col min="7451" max="7680" width="9" style="2"/>
    <col min="7681" max="7681" width="5" style="2" bestFit="1" customWidth="1"/>
    <col min="7682" max="7682" width="22.85546875" style="2" customWidth="1"/>
    <col min="7683" max="7683" width="15.42578125" style="2" customWidth="1"/>
    <col min="7684" max="7684" width="14.5703125" style="2" customWidth="1"/>
    <col min="7685" max="7685" width="11.28515625" style="2" customWidth="1"/>
    <col min="7686" max="7686" width="5.85546875" style="2" customWidth="1"/>
    <col min="7687" max="7687" width="11.85546875" style="2" bestFit="1" customWidth="1"/>
    <col min="7688" max="7688" width="10.42578125" style="2" customWidth="1"/>
    <col min="7689" max="7689" width="5.5703125" style="2" customWidth="1"/>
    <col min="7690" max="7690" width="7.5703125" style="2" customWidth="1"/>
    <col min="7691" max="7691" width="13.140625" style="2" bestFit="1" customWidth="1"/>
    <col min="7692" max="7693" width="7" style="2" customWidth="1"/>
    <col min="7694" max="7694" width="11.140625" style="2" customWidth="1"/>
    <col min="7695" max="7695" width="12.5703125" style="2" bestFit="1" customWidth="1"/>
    <col min="7696" max="7696" width="10.42578125" style="2" customWidth="1"/>
    <col min="7697" max="7697" width="7.42578125" style="2" customWidth="1"/>
    <col min="7698" max="7698" width="15.85546875" style="2" bestFit="1" customWidth="1"/>
    <col min="7699" max="7699" width="5.85546875" style="2" customWidth="1"/>
    <col min="7700" max="7706" width="0" style="2" hidden="1" customWidth="1"/>
    <col min="7707" max="7936" width="9" style="2"/>
    <col min="7937" max="7937" width="5" style="2" bestFit="1" customWidth="1"/>
    <col min="7938" max="7938" width="22.85546875" style="2" customWidth="1"/>
    <col min="7939" max="7939" width="15.42578125" style="2" customWidth="1"/>
    <col min="7940" max="7940" width="14.5703125" style="2" customWidth="1"/>
    <col min="7941" max="7941" width="11.28515625" style="2" customWidth="1"/>
    <col min="7942" max="7942" width="5.85546875" style="2" customWidth="1"/>
    <col min="7943" max="7943" width="11.85546875" style="2" bestFit="1" customWidth="1"/>
    <col min="7944" max="7944" width="10.42578125" style="2" customWidth="1"/>
    <col min="7945" max="7945" width="5.5703125" style="2" customWidth="1"/>
    <col min="7946" max="7946" width="7.5703125" style="2" customWidth="1"/>
    <col min="7947" max="7947" width="13.140625" style="2" bestFit="1" customWidth="1"/>
    <col min="7948" max="7949" width="7" style="2" customWidth="1"/>
    <col min="7950" max="7950" width="11.140625" style="2" customWidth="1"/>
    <col min="7951" max="7951" width="12.5703125" style="2" bestFit="1" customWidth="1"/>
    <col min="7952" max="7952" width="10.42578125" style="2" customWidth="1"/>
    <col min="7953" max="7953" width="7.42578125" style="2" customWidth="1"/>
    <col min="7954" max="7954" width="15.85546875" style="2" bestFit="1" customWidth="1"/>
    <col min="7955" max="7955" width="5.85546875" style="2" customWidth="1"/>
    <col min="7956" max="7962" width="0" style="2" hidden="1" customWidth="1"/>
    <col min="7963" max="8192" width="9" style="2"/>
    <col min="8193" max="8193" width="5" style="2" bestFit="1" customWidth="1"/>
    <col min="8194" max="8194" width="22.85546875" style="2" customWidth="1"/>
    <col min="8195" max="8195" width="15.42578125" style="2" customWidth="1"/>
    <col min="8196" max="8196" width="14.5703125" style="2" customWidth="1"/>
    <col min="8197" max="8197" width="11.28515625" style="2" customWidth="1"/>
    <col min="8198" max="8198" width="5.85546875" style="2" customWidth="1"/>
    <col min="8199" max="8199" width="11.85546875" style="2" bestFit="1" customWidth="1"/>
    <col min="8200" max="8200" width="10.42578125" style="2" customWidth="1"/>
    <col min="8201" max="8201" width="5.5703125" style="2" customWidth="1"/>
    <col min="8202" max="8202" width="7.5703125" style="2" customWidth="1"/>
    <col min="8203" max="8203" width="13.140625" style="2" bestFit="1" customWidth="1"/>
    <col min="8204" max="8205" width="7" style="2" customWidth="1"/>
    <col min="8206" max="8206" width="11.140625" style="2" customWidth="1"/>
    <col min="8207" max="8207" width="12.5703125" style="2" bestFit="1" customWidth="1"/>
    <col min="8208" max="8208" width="10.42578125" style="2" customWidth="1"/>
    <col min="8209" max="8209" width="7.42578125" style="2" customWidth="1"/>
    <col min="8210" max="8210" width="15.85546875" style="2" bestFit="1" customWidth="1"/>
    <col min="8211" max="8211" width="5.85546875" style="2" customWidth="1"/>
    <col min="8212" max="8218" width="0" style="2" hidden="1" customWidth="1"/>
    <col min="8219" max="8448" width="9" style="2"/>
    <col min="8449" max="8449" width="5" style="2" bestFit="1" customWidth="1"/>
    <col min="8450" max="8450" width="22.85546875" style="2" customWidth="1"/>
    <col min="8451" max="8451" width="15.42578125" style="2" customWidth="1"/>
    <col min="8452" max="8452" width="14.5703125" style="2" customWidth="1"/>
    <col min="8453" max="8453" width="11.28515625" style="2" customWidth="1"/>
    <col min="8454" max="8454" width="5.85546875" style="2" customWidth="1"/>
    <col min="8455" max="8455" width="11.85546875" style="2" bestFit="1" customWidth="1"/>
    <col min="8456" max="8456" width="10.42578125" style="2" customWidth="1"/>
    <col min="8457" max="8457" width="5.5703125" style="2" customWidth="1"/>
    <col min="8458" max="8458" width="7.5703125" style="2" customWidth="1"/>
    <col min="8459" max="8459" width="13.140625" style="2" bestFit="1" customWidth="1"/>
    <col min="8460" max="8461" width="7" style="2" customWidth="1"/>
    <col min="8462" max="8462" width="11.140625" style="2" customWidth="1"/>
    <col min="8463" max="8463" width="12.5703125" style="2" bestFit="1" customWidth="1"/>
    <col min="8464" max="8464" width="10.42578125" style="2" customWidth="1"/>
    <col min="8465" max="8465" width="7.42578125" style="2" customWidth="1"/>
    <col min="8466" max="8466" width="15.85546875" style="2" bestFit="1" customWidth="1"/>
    <col min="8467" max="8467" width="5.85546875" style="2" customWidth="1"/>
    <col min="8468" max="8474" width="0" style="2" hidden="1" customWidth="1"/>
    <col min="8475" max="8704" width="9" style="2"/>
    <col min="8705" max="8705" width="5" style="2" bestFit="1" customWidth="1"/>
    <col min="8706" max="8706" width="22.85546875" style="2" customWidth="1"/>
    <col min="8707" max="8707" width="15.42578125" style="2" customWidth="1"/>
    <col min="8708" max="8708" width="14.5703125" style="2" customWidth="1"/>
    <col min="8709" max="8709" width="11.28515625" style="2" customWidth="1"/>
    <col min="8710" max="8710" width="5.85546875" style="2" customWidth="1"/>
    <col min="8711" max="8711" width="11.85546875" style="2" bestFit="1" customWidth="1"/>
    <col min="8712" max="8712" width="10.42578125" style="2" customWidth="1"/>
    <col min="8713" max="8713" width="5.5703125" style="2" customWidth="1"/>
    <col min="8714" max="8714" width="7.5703125" style="2" customWidth="1"/>
    <col min="8715" max="8715" width="13.140625" style="2" bestFit="1" customWidth="1"/>
    <col min="8716" max="8717" width="7" style="2" customWidth="1"/>
    <col min="8718" max="8718" width="11.140625" style="2" customWidth="1"/>
    <col min="8719" max="8719" width="12.5703125" style="2" bestFit="1" customWidth="1"/>
    <col min="8720" max="8720" width="10.42578125" style="2" customWidth="1"/>
    <col min="8721" max="8721" width="7.42578125" style="2" customWidth="1"/>
    <col min="8722" max="8722" width="15.85546875" style="2" bestFit="1" customWidth="1"/>
    <col min="8723" max="8723" width="5.85546875" style="2" customWidth="1"/>
    <col min="8724" max="8730" width="0" style="2" hidden="1" customWidth="1"/>
    <col min="8731" max="8960" width="9" style="2"/>
    <col min="8961" max="8961" width="5" style="2" bestFit="1" customWidth="1"/>
    <col min="8962" max="8962" width="22.85546875" style="2" customWidth="1"/>
    <col min="8963" max="8963" width="15.42578125" style="2" customWidth="1"/>
    <col min="8964" max="8964" width="14.5703125" style="2" customWidth="1"/>
    <col min="8965" max="8965" width="11.28515625" style="2" customWidth="1"/>
    <col min="8966" max="8966" width="5.85546875" style="2" customWidth="1"/>
    <col min="8967" max="8967" width="11.85546875" style="2" bestFit="1" customWidth="1"/>
    <col min="8968" max="8968" width="10.42578125" style="2" customWidth="1"/>
    <col min="8969" max="8969" width="5.5703125" style="2" customWidth="1"/>
    <col min="8970" max="8970" width="7.5703125" style="2" customWidth="1"/>
    <col min="8971" max="8971" width="13.140625" style="2" bestFit="1" customWidth="1"/>
    <col min="8972" max="8973" width="7" style="2" customWidth="1"/>
    <col min="8974" max="8974" width="11.140625" style="2" customWidth="1"/>
    <col min="8975" max="8975" width="12.5703125" style="2" bestFit="1" customWidth="1"/>
    <col min="8976" max="8976" width="10.42578125" style="2" customWidth="1"/>
    <col min="8977" max="8977" width="7.42578125" style="2" customWidth="1"/>
    <col min="8978" max="8978" width="15.85546875" style="2" bestFit="1" customWidth="1"/>
    <col min="8979" max="8979" width="5.85546875" style="2" customWidth="1"/>
    <col min="8980" max="8986" width="0" style="2" hidden="1" customWidth="1"/>
    <col min="8987" max="9216" width="9" style="2"/>
    <col min="9217" max="9217" width="5" style="2" bestFit="1" customWidth="1"/>
    <col min="9218" max="9218" width="22.85546875" style="2" customWidth="1"/>
    <col min="9219" max="9219" width="15.42578125" style="2" customWidth="1"/>
    <col min="9220" max="9220" width="14.5703125" style="2" customWidth="1"/>
    <col min="9221" max="9221" width="11.28515625" style="2" customWidth="1"/>
    <col min="9222" max="9222" width="5.85546875" style="2" customWidth="1"/>
    <col min="9223" max="9223" width="11.85546875" style="2" bestFit="1" customWidth="1"/>
    <col min="9224" max="9224" width="10.42578125" style="2" customWidth="1"/>
    <col min="9225" max="9225" width="5.5703125" style="2" customWidth="1"/>
    <col min="9226" max="9226" width="7.5703125" style="2" customWidth="1"/>
    <col min="9227" max="9227" width="13.140625" style="2" bestFit="1" customWidth="1"/>
    <col min="9228" max="9229" width="7" style="2" customWidth="1"/>
    <col min="9230" max="9230" width="11.140625" style="2" customWidth="1"/>
    <col min="9231" max="9231" width="12.5703125" style="2" bestFit="1" customWidth="1"/>
    <col min="9232" max="9232" width="10.42578125" style="2" customWidth="1"/>
    <col min="9233" max="9233" width="7.42578125" style="2" customWidth="1"/>
    <col min="9234" max="9234" width="15.85546875" style="2" bestFit="1" customWidth="1"/>
    <col min="9235" max="9235" width="5.85546875" style="2" customWidth="1"/>
    <col min="9236" max="9242" width="0" style="2" hidden="1" customWidth="1"/>
    <col min="9243" max="9472" width="9" style="2"/>
    <col min="9473" max="9473" width="5" style="2" bestFit="1" customWidth="1"/>
    <col min="9474" max="9474" width="22.85546875" style="2" customWidth="1"/>
    <col min="9475" max="9475" width="15.42578125" style="2" customWidth="1"/>
    <col min="9476" max="9476" width="14.5703125" style="2" customWidth="1"/>
    <col min="9477" max="9477" width="11.28515625" style="2" customWidth="1"/>
    <col min="9478" max="9478" width="5.85546875" style="2" customWidth="1"/>
    <col min="9479" max="9479" width="11.85546875" style="2" bestFit="1" customWidth="1"/>
    <col min="9480" max="9480" width="10.42578125" style="2" customWidth="1"/>
    <col min="9481" max="9481" width="5.5703125" style="2" customWidth="1"/>
    <col min="9482" max="9482" width="7.5703125" style="2" customWidth="1"/>
    <col min="9483" max="9483" width="13.140625" style="2" bestFit="1" customWidth="1"/>
    <col min="9484" max="9485" width="7" style="2" customWidth="1"/>
    <col min="9486" max="9486" width="11.140625" style="2" customWidth="1"/>
    <col min="9487" max="9487" width="12.5703125" style="2" bestFit="1" customWidth="1"/>
    <col min="9488" max="9488" width="10.42578125" style="2" customWidth="1"/>
    <col min="9489" max="9489" width="7.42578125" style="2" customWidth="1"/>
    <col min="9490" max="9490" width="15.85546875" style="2" bestFit="1" customWidth="1"/>
    <col min="9491" max="9491" width="5.85546875" style="2" customWidth="1"/>
    <col min="9492" max="9498" width="0" style="2" hidden="1" customWidth="1"/>
    <col min="9499" max="9728" width="9" style="2"/>
    <col min="9729" max="9729" width="5" style="2" bestFit="1" customWidth="1"/>
    <col min="9730" max="9730" width="22.85546875" style="2" customWidth="1"/>
    <col min="9731" max="9731" width="15.42578125" style="2" customWidth="1"/>
    <col min="9732" max="9732" width="14.5703125" style="2" customWidth="1"/>
    <col min="9733" max="9733" width="11.28515625" style="2" customWidth="1"/>
    <col min="9734" max="9734" width="5.85546875" style="2" customWidth="1"/>
    <col min="9735" max="9735" width="11.85546875" style="2" bestFit="1" customWidth="1"/>
    <col min="9736" max="9736" width="10.42578125" style="2" customWidth="1"/>
    <col min="9737" max="9737" width="5.5703125" style="2" customWidth="1"/>
    <col min="9738" max="9738" width="7.5703125" style="2" customWidth="1"/>
    <col min="9739" max="9739" width="13.140625" style="2" bestFit="1" customWidth="1"/>
    <col min="9740" max="9741" width="7" style="2" customWidth="1"/>
    <col min="9742" max="9742" width="11.140625" style="2" customWidth="1"/>
    <col min="9743" max="9743" width="12.5703125" style="2" bestFit="1" customWidth="1"/>
    <col min="9744" max="9744" width="10.42578125" style="2" customWidth="1"/>
    <col min="9745" max="9745" width="7.42578125" style="2" customWidth="1"/>
    <col min="9746" max="9746" width="15.85546875" style="2" bestFit="1" customWidth="1"/>
    <col min="9747" max="9747" width="5.85546875" style="2" customWidth="1"/>
    <col min="9748" max="9754" width="0" style="2" hidden="1" customWidth="1"/>
    <col min="9755" max="9984" width="9" style="2"/>
    <col min="9985" max="9985" width="5" style="2" bestFit="1" customWidth="1"/>
    <col min="9986" max="9986" width="22.85546875" style="2" customWidth="1"/>
    <col min="9987" max="9987" width="15.42578125" style="2" customWidth="1"/>
    <col min="9988" max="9988" width="14.5703125" style="2" customWidth="1"/>
    <col min="9989" max="9989" width="11.28515625" style="2" customWidth="1"/>
    <col min="9990" max="9990" width="5.85546875" style="2" customWidth="1"/>
    <col min="9991" max="9991" width="11.85546875" style="2" bestFit="1" customWidth="1"/>
    <col min="9992" max="9992" width="10.42578125" style="2" customWidth="1"/>
    <col min="9993" max="9993" width="5.5703125" style="2" customWidth="1"/>
    <col min="9994" max="9994" width="7.5703125" style="2" customWidth="1"/>
    <col min="9995" max="9995" width="13.140625" style="2" bestFit="1" customWidth="1"/>
    <col min="9996" max="9997" width="7" style="2" customWidth="1"/>
    <col min="9998" max="9998" width="11.140625" style="2" customWidth="1"/>
    <col min="9999" max="9999" width="12.5703125" style="2" bestFit="1" customWidth="1"/>
    <col min="10000" max="10000" width="10.42578125" style="2" customWidth="1"/>
    <col min="10001" max="10001" width="7.42578125" style="2" customWidth="1"/>
    <col min="10002" max="10002" width="15.85546875" style="2" bestFit="1" customWidth="1"/>
    <col min="10003" max="10003" width="5.85546875" style="2" customWidth="1"/>
    <col min="10004" max="10010" width="0" style="2" hidden="1" customWidth="1"/>
    <col min="10011" max="10240" width="9" style="2"/>
    <col min="10241" max="10241" width="5" style="2" bestFit="1" customWidth="1"/>
    <col min="10242" max="10242" width="22.85546875" style="2" customWidth="1"/>
    <col min="10243" max="10243" width="15.42578125" style="2" customWidth="1"/>
    <col min="10244" max="10244" width="14.5703125" style="2" customWidth="1"/>
    <col min="10245" max="10245" width="11.28515625" style="2" customWidth="1"/>
    <col min="10246" max="10246" width="5.85546875" style="2" customWidth="1"/>
    <col min="10247" max="10247" width="11.85546875" style="2" bestFit="1" customWidth="1"/>
    <col min="10248" max="10248" width="10.42578125" style="2" customWidth="1"/>
    <col min="10249" max="10249" width="5.5703125" style="2" customWidth="1"/>
    <col min="10250" max="10250" width="7.5703125" style="2" customWidth="1"/>
    <col min="10251" max="10251" width="13.140625" style="2" bestFit="1" customWidth="1"/>
    <col min="10252" max="10253" width="7" style="2" customWidth="1"/>
    <col min="10254" max="10254" width="11.140625" style="2" customWidth="1"/>
    <col min="10255" max="10255" width="12.5703125" style="2" bestFit="1" customWidth="1"/>
    <col min="10256" max="10256" width="10.42578125" style="2" customWidth="1"/>
    <col min="10257" max="10257" width="7.42578125" style="2" customWidth="1"/>
    <col min="10258" max="10258" width="15.85546875" style="2" bestFit="1" customWidth="1"/>
    <col min="10259" max="10259" width="5.85546875" style="2" customWidth="1"/>
    <col min="10260" max="10266" width="0" style="2" hidden="1" customWidth="1"/>
    <col min="10267" max="10496" width="9" style="2"/>
    <col min="10497" max="10497" width="5" style="2" bestFit="1" customWidth="1"/>
    <col min="10498" max="10498" width="22.85546875" style="2" customWidth="1"/>
    <col min="10499" max="10499" width="15.42578125" style="2" customWidth="1"/>
    <col min="10500" max="10500" width="14.5703125" style="2" customWidth="1"/>
    <col min="10501" max="10501" width="11.28515625" style="2" customWidth="1"/>
    <col min="10502" max="10502" width="5.85546875" style="2" customWidth="1"/>
    <col min="10503" max="10503" width="11.85546875" style="2" bestFit="1" customWidth="1"/>
    <col min="10504" max="10504" width="10.42578125" style="2" customWidth="1"/>
    <col min="10505" max="10505" width="5.5703125" style="2" customWidth="1"/>
    <col min="10506" max="10506" width="7.5703125" style="2" customWidth="1"/>
    <col min="10507" max="10507" width="13.140625" style="2" bestFit="1" customWidth="1"/>
    <col min="10508" max="10509" width="7" style="2" customWidth="1"/>
    <col min="10510" max="10510" width="11.140625" style="2" customWidth="1"/>
    <col min="10511" max="10511" width="12.5703125" style="2" bestFit="1" customWidth="1"/>
    <col min="10512" max="10512" width="10.42578125" style="2" customWidth="1"/>
    <col min="10513" max="10513" width="7.42578125" style="2" customWidth="1"/>
    <col min="10514" max="10514" width="15.85546875" style="2" bestFit="1" customWidth="1"/>
    <col min="10515" max="10515" width="5.85546875" style="2" customWidth="1"/>
    <col min="10516" max="10522" width="0" style="2" hidden="1" customWidth="1"/>
    <col min="10523" max="10752" width="9" style="2"/>
    <col min="10753" max="10753" width="5" style="2" bestFit="1" customWidth="1"/>
    <col min="10754" max="10754" width="22.85546875" style="2" customWidth="1"/>
    <col min="10755" max="10755" width="15.42578125" style="2" customWidth="1"/>
    <col min="10756" max="10756" width="14.5703125" style="2" customWidth="1"/>
    <col min="10757" max="10757" width="11.28515625" style="2" customWidth="1"/>
    <col min="10758" max="10758" width="5.85546875" style="2" customWidth="1"/>
    <col min="10759" max="10759" width="11.85546875" style="2" bestFit="1" customWidth="1"/>
    <col min="10760" max="10760" width="10.42578125" style="2" customWidth="1"/>
    <col min="10761" max="10761" width="5.5703125" style="2" customWidth="1"/>
    <col min="10762" max="10762" width="7.5703125" style="2" customWidth="1"/>
    <col min="10763" max="10763" width="13.140625" style="2" bestFit="1" customWidth="1"/>
    <col min="10764" max="10765" width="7" style="2" customWidth="1"/>
    <col min="10766" max="10766" width="11.140625" style="2" customWidth="1"/>
    <col min="10767" max="10767" width="12.5703125" style="2" bestFit="1" customWidth="1"/>
    <col min="10768" max="10768" width="10.42578125" style="2" customWidth="1"/>
    <col min="10769" max="10769" width="7.42578125" style="2" customWidth="1"/>
    <col min="10770" max="10770" width="15.85546875" style="2" bestFit="1" customWidth="1"/>
    <col min="10771" max="10771" width="5.85546875" style="2" customWidth="1"/>
    <col min="10772" max="10778" width="0" style="2" hidden="1" customWidth="1"/>
    <col min="10779" max="11008" width="9" style="2"/>
    <col min="11009" max="11009" width="5" style="2" bestFit="1" customWidth="1"/>
    <col min="11010" max="11010" width="22.85546875" style="2" customWidth="1"/>
    <col min="11011" max="11011" width="15.42578125" style="2" customWidth="1"/>
    <col min="11012" max="11012" width="14.5703125" style="2" customWidth="1"/>
    <col min="11013" max="11013" width="11.28515625" style="2" customWidth="1"/>
    <col min="11014" max="11014" width="5.85546875" style="2" customWidth="1"/>
    <col min="11015" max="11015" width="11.85546875" style="2" bestFit="1" customWidth="1"/>
    <col min="11016" max="11016" width="10.42578125" style="2" customWidth="1"/>
    <col min="11017" max="11017" width="5.5703125" style="2" customWidth="1"/>
    <col min="11018" max="11018" width="7.5703125" style="2" customWidth="1"/>
    <col min="11019" max="11019" width="13.140625" style="2" bestFit="1" customWidth="1"/>
    <col min="11020" max="11021" width="7" style="2" customWidth="1"/>
    <col min="11022" max="11022" width="11.140625" style="2" customWidth="1"/>
    <col min="11023" max="11023" width="12.5703125" style="2" bestFit="1" customWidth="1"/>
    <col min="11024" max="11024" width="10.42578125" style="2" customWidth="1"/>
    <col min="11025" max="11025" width="7.42578125" style="2" customWidth="1"/>
    <col min="11026" max="11026" width="15.85546875" style="2" bestFit="1" customWidth="1"/>
    <col min="11027" max="11027" width="5.85546875" style="2" customWidth="1"/>
    <col min="11028" max="11034" width="0" style="2" hidden="1" customWidth="1"/>
    <col min="11035" max="11264" width="9" style="2"/>
    <col min="11265" max="11265" width="5" style="2" bestFit="1" customWidth="1"/>
    <col min="11266" max="11266" width="22.85546875" style="2" customWidth="1"/>
    <col min="11267" max="11267" width="15.42578125" style="2" customWidth="1"/>
    <col min="11268" max="11268" width="14.5703125" style="2" customWidth="1"/>
    <col min="11269" max="11269" width="11.28515625" style="2" customWidth="1"/>
    <col min="11270" max="11270" width="5.85546875" style="2" customWidth="1"/>
    <col min="11271" max="11271" width="11.85546875" style="2" bestFit="1" customWidth="1"/>
    <col min="11272" max="11272" width="10.42578125" style="2" customWidth="1"/>
    <col min="11273" max="11273" width="5.5703125" style="2" customWidth="1"/>
    <col min="11274" max="11274" width="7.5703125" style="2" customWidth="1"/>
    <col min="11275" max="11275" width="13.140625" style="2" bestFit="1" customWidth="1"/>
    <col min="11276" max="11277" width="7" style="2" customWidth="1"/>
    <col min="11278" max="11278" width="11.140625" style="2" customWidth="1"/>
    <col min="11279" max="11279" width="12.5703125" style="2" bestFit="1" customWidth="1"/>
    <col min="11280" max="11280" width="10.42578125" style="2" customWidth="1"/>
    <col min="11281" max="11281" width="7.42578125" style="2" customWidth="1"/>
    <col min="11282" max="11282" width="15.85546875" style="2" bestFit="1" customWidth="1"/>
    <col min="11283" max="11283" width="5.85546875" style="2" customWidth="1"/>
    <col min="11284" max="11290" width="0" style="2" hidden="1" customWidth="1"/>
    <col min="11291" max="11520" width="9" style="2"/>
    <col min="11521" max="11521" width="5" style="2" bestFit="1" customWidth="1"/>
    <col min="11522" max="11522" width="22.85546875" style="2" customWidth="1"/>
    <col min="11523" max="11523" width="15.42578125" style="2" customWidth="1"/>
    <col min="11524" max="11524" width="14.5703125" style="2" customWidth="1"/>
    <col min="11525" max="11525" width="11.28515625" style="2" customWidth="1"/>
    <col min="11526" max="11526" width="5.85546875" style="2" customWidth="1"/>
    <col min="11527" max="11527" width="11.85546875" style="2" bestFit="1" customWidth="1"/>
    <col min="11528" max="11528" width="10.42578125" style="2" customWidth="1"/>
    <col min="11529" max="11529" width="5.5703125" style="2" customWidth="1"/>
    <col min="11530" max="11530" width="7.5703125" style="2" customWidth="1"/>
    <col min="11531" max="11531" width="13.140625" style="2" bestFit="1" customWidth="1"/>
    <col min="11532" max="11533" width="7" style="2" customWidth="1"/>
    <col min="11534" max="11534" width="11.140625" style="2" customWidth="1"/>
    <col min="11535" max="11535" width="12.5703125" style="2" bestFit="1" customWidth="1"/>
    <col min="11536" max="11536" width="10.42578125" style="2" customWidth="1"/>
    <col min="11537" max="11537" width="7.42578125" style="2" customWidth="1"/>
    <col min="11538" max="11538" width="15.85546875" style="2" bestFit="1" customWidth="1"/>
    <col min="11539" max="11539" width="5.85546875" style="2" customWidth="1"/>
    <col min="11540" max="11546" width="0" style="2" hidden="1" customWidth="1"/>
    <col min="11547" max="11776" width="9" style="2"/>
    <col min="11777" max="11777" width="5" style="2" bestFit="1" customWidth="1"/>
    <col min="11778" max="11778" width="22.85546875" style="2" customWidth="1"/>
    <col min="11779" max="11779" width="15.42578125" style="2" customWidth="1"/>
    <col min="11780" max="11780" width="14.5703125" style="2" customWidth="1"/>
    <col min="11781" max="11781" width="11.28515625" style="2" customWidth="1"/>
    <col min="11782" max="11782" width="5.85546875" style="2" customWidth="1"/>
    <col min="11783" max="11783" width="11.85546875" style="2" bestFit="1" customWidth="1"/>
    <col min="11784" max="11784" width="10.42578125" style="2" customWidth="1"/>
    <col min="11785" max="11785" width="5.5703125" style="2" customWidth="1"/>
    <col min="11786" max="11786" width="7.5703125" style="2" customWidth="1"/>
    <col min="11787" max="11787" width="13.140625" style="2" bestFit="1" customWidth="1"/>
    <col min="11788" max="11789" width="7" style="2" customWidth="1"/>
    <col min="11790" max="11790" width="11.140625" style="2" customWidth="1"/>
    <col min="11791" max="11791" width="12.5703125" style="2" bestFit="1" customWidth="1"/>
    <col min="11792" max="11792" width="10.42578125" style="2" customWidth="1"/>
    <col min="11793" max="11793" width="7.42578125" style="2" customWidth="1"/>
    <col min="11794" max="11794" width="15.85546875" style="2" bestFit="1" customWidth="1"/>
    <col min="11795" max="11795" width="5.85546875" style="2" customWidth="1"/>
    <col min="11796" max="11802" width="0" style="2" hidden="1" customWidth="1"/>
    <col min="11803" max="12032" width="9" style="2"/>
    <col min="12033" max="12033" width="5" style="2" bestFit="1" customWidth="1"/>
    <col min="12034" max="12034" width="22.85546875" style="2" customWidth="1"/>
    <col min="12035" max="12035" width="15.42578125" style="2" customWidth="1"/>
    <col min="12036" max="12036" width="14.5703125" style="2" customWidth="1"/>
    <col min="12037" max="12037" width="11.28515625" style="2" customWidth="1"/>
    <col min="12038" max="12038" width="5.85546875" style="2" customWidth="1"/>
    <col min="12039" max="12039" width="11.85546875" style="2" bestFit="1" customWidth="1"/>
    <col min="12040" max="12040" width="10.42578125" style="2" customWidth="1"/>
    <col min="12041" max="12041" width="5.5703125" style="2" customWidth="1"/>
    <col min="12042" max="12042" width="7.5703125" style="2" customWidth="1"/>
    <col min="12043" max="12043" width="13.140625" style="2" bestFit="1" customWidth="1"/>
    <col min="12044" max="12045" width="7" style="2" customWidth="1"/>
    <col min="12046" max="12046" width="11.140625" style="2" customWidth="1"/>
    <col min="12047" max="12047" width="12.5703125" style="2" bestFit="1" customWidth="1"/>
    <col min="12048" max="12048" width="10.42578125" style="2" customWidth="1"/>
    <col min="12049" max="12049" width="7.42578125" style="2" customWidth="1"/>
    <col min="12050" max="12050" width="15.85546875" style="2" bestFit="1" customWidth="1"/>
    <col min="12051" max="12051" width="5.85546875" style="2" customWidth="1"/>
    <col min="12052" max="12058" width="0" style="2" hidden="1" customWidth="1"/>
    <col min="12059" max="12288" width="9" style="2"/>
    <col min="12289" max="12289" width="5" style="2" bestFit="1" customWidth="1"/>
    <col min="12290" max="12290" width="22.85546875" style="2" customWidth="1"/>
    <col min="12291" max="12291" width="15.42578125" style="2" customWidth="1"/>
    <col min="12292" max="12292" width="14.5703125" style="2" customWidth="1"/>
    <col min="12293" max="12293" width="11.28515625" style="2" customWidth="1"/>
    <col min="12294" max="12294" width="5.85546875" style="2" customWidth="1"/>
    <col min="12295" max="12295" width="11.85546875" style="2" bestFit="1" customWidth="1"/>
    <col min="12296" max="12296" width="10.42578125" style="2" customWidth="1"/>
    <col min="12297" max="12297" width="5.5703125" style="2" customWidth="1"/>
    <col min="12298" max="12298" width="7.5703125" style="2" customWidth="1"/>
    <col min="12299" max="12299" width="13.140625" style="2" bestFit="1" customWidth="1"/>
    <col min="12300" max="12301" width="7" style="2" customWidth="1"/>
    <col min="12302" max="12302" width="11.140625" style="2" customWidth="1"/>
    <col min="12303" max="12303" width="12.5703125" style="2" bestFit="1" customWidth="1"/>
    <col min="12304" max="12304" width="10.42578125" style="2" customWidth="1"/>
    <col min="12305" max="12305" width="7.42578125" style="2" customWidth="1"/>
    <col min="12306" max="12306" width="15.85546875" style="2" bestFit="1" customWidth="1"/>
    <col min="12307" max="12307" width="5.85546875" style="2" customWidth="1"/>
    <col min="12308" max="12314" width="0" style="2" hidden="1" customWidth="1"/>
    <col min="12315" max="12544" width="9" style="2"/>
    <col min="12545" max="12545" width="5" style="2" bestFit="1" customWidth="1"/>
    <col min="12546" max="12546" width="22.85546875" style="2" customWidth="1"/>
    <col min="12547" max="12547" width="15.42578125" style="2" customWidth="1"/>
    <col min="12548" max="12548" width="14.5703125" style="2" customWidth="1"/>
    <col min="12549" max="12549" width="11.28515625" style="2" customWidth="1"/>
    <col min="12550" max="12550" width="5.85546875" style="2" customWidth="1"/>
    <col min="12551" max="12551" width="11.85546875" style="2" bestFit="1" customWidth="1"/>
    <col min="12552" max="12552" width="10.42578125" style="2" customWidth="1"/>
    <col min="12553" max="12553" width="5.5703125" style="2" customWidth="1"/>
    <col min="12554" max="12554" width="7.5703125" style="2" customWidth="1"/>
    <col min="12555" max="12555" width="13.140625" style="2" bestFit="1" customWidth="1"/>
    <col min="12556" max="12557" width="7" style="2" customWidth="1"/>
    <col min="12558" max="12558" width="11.140625" style="2" customWidth="1"/>
    <col min="12559" max="12559" width="12.5703125" style="2" bestFit="1" customWidth="1"/>
    <col min="12560" max="12560" width="10.42578125" style="2" customWidth="1"/>
    <col min="12561" max="12561" width="7.42578125" style="2" customWidth="1"/>
    <col min="12562" max="12562" width="15.85546875" style="2" bestFit="1" customWidth="1"/>
    <col min="12563" max="12563" width="5.85546875" style="2" customWidth="1"/>
    <col min="12564" max="12570" width="0" style="2" hidden="1" customWidth="1"/>
    <col min="12571" max="12800" width="9" style="2"/>
    <col min="12801" max="12801" width="5" style="2" bestFit="1" customWidth="1"/>
    <col min="12802" max="12802" width="22.85546875" style="2" customWidth="1"/>
    <col min="12803" max="12803" width="15.42578125" style="2" customWidth="1"/>
    <col min="12804" max="12804" width="14.5703125" style="2" customWidth="1"/>
    <col min="12805" max="12805" width="11.28515625" style="2" customWidth="1"/>
    <col min="12806" max="12806" width="5.85546875" style="2" customWidth="1"/>
    <col min="12807" max="12807" width="11.85546875" style="2" bestFit="1" customWidth="1"/>
    <col min="12808" max="12808" width="10.42578125" style="2" customWidth="1"/>
    <col min="12809" max="12809" width="5.5703125" style="2" customWidth="1"/>
    <col min="12810" max="12810" width="7.5703125" style="2" customWidth="1"/>
    <col min="12811" max="12811" width="13.140625" style="2" bestFit="1" customWidth="1"/>
    <col min="12812" max="12813" width="7" style="2" customWidth="1"/>
    <col min="12814" max="12814" width="11.140625" style="2" customWidth="1"/>
    <col min="12815" max="12815" width="12.5703125" style="2" bestFit="1" customWidth="1"/>
    <col min="12816" max="12816" width="10.42578125" style="2" customWidth="1"/>
    <col min="12817" max="12817" width="7.42578125" style="2" customWidth="1"/>
    <col min="12818" max="12818" width="15.85546875" style="2" bestFit="1" customWidth="1"/>
    <col min="12819" max="12819" width="5.85546875" style="2" customWidth="1"/>
    <col min="12820" max="12826" width="0" style="2" hidden="1" customWidth="1"/>
    <col min="12827" max="13056" width="9" style="2"/>
    <col min="13057" max="13057" width="5" style="2" bestFit="1" customWidth="1"/>
    <col min="13058" max="13058" width="22.85546875" style="2" customWidth="1"/>
    <col min="13059" max="13059" width="15.42578125" style="2" customWidth="1"/>
    <col min="13060" max="13060" width="14.5703125" style="2" customWidth="1"/>
    <col min="13061" max="13061" width="11.28515625" style="2" customWidth="1"/>
    <col min="13062" max="13062" width="5.85546875" style="2" customWidth="1"/>
    <col min="13063" max="13063" width="11.85546875" style="2" bestFit="1" customWidth="1"/>
    <col min="13064" max="13064" width="10.42578125" style="2" customWidth="1"/>
    <col min="13065" max="13065" width="5.5703125" style="2" customWidth="1"/>
    <col min="13066" max="13066" width="7.5703125" style="2" customWidth="1"/>
    <col min="13067" max="13067" width="13.140625" style="2" bestFit="1" customWidth="1"/>
    <col min="13068" max="13069" width="7" style="2" customWidth="1"/>
    <col min="13070" max="13070" width="11.140625" style="2" customWidth="1"/>
    <col min="13071" max="13071" width="12.5703125" style="2" bestFit="1" customWidth="1"/>
    <col min="13072" max="13072" width="10.42578125" style="2" customWidth="1"/>
    <col min="13073" max="13073" width="7.42578125" style="2" customWidth="1"/>
    <col min="13074" max="13074" width="15.85546875" style="2" bestFit="1" customWidth="1"/>
    <col min="13075" max="13075" width="5.85546875" style="2" customWidth="1"/>
    <col min="13076" max="13082" width="0" style="2" hidden="1" customWidth="1"/>
    <col min="13083" max="13312" width="9" style="2"/>
    <col min="13313" max="13313" width="5" style="2" bestFit="1" customWidth="1"/>
    <col min="13314" max="13314" width="22.85546875" style="2" customWidth="1"/>
    <col min="13315" max="13315" width="15.42578125" style="2" customWidth="1"/>
    <col min="13316" max="13316" width="14.5703125" style="2" customWidth="1"/>
    <col min="13317" max="13317" width="11.28515625" style="2" customWidth="1"/>
    <col min="13318" max="13318" width="5.85546875" style="2" customWidth="1"/>
    <col min="13319" max="13319" width="11.85546875" style="2" bestFit="1" customWidth="1"/>
    <col min="13320" max="13320" width="10.42578125" style="2" customWidth="1"/>
    <col min="13321" max="13321" width="5.5703125" style="2" customWidth="1"/>
    <col min="13322" max="13322" width="7.5703125" style="2" customWidth="1"/>
    <col min="13323" max="13323" width="13.140625" style="2" bestFit="1" customWidth="1"/>
    <col min="13324" max="13325" width="7" style="2" customWidth="1"/>
    <col min="13326" max="13326" width="11.140625" style="2" customWidth="1"/>
    <col min="13327" max="13327" width="12.5703125" style="2" bestFit="1" customWidth="1"/>
    <col min="13328" max="13328" width="10.42578125" style="2" customWidth="1"/>
    <col min="13329" max="13329" width="7.42578125" style="2" customWidth="1"/>
    <col min="13330" max="13330" width="15.85546875" style="2" bestFit="1" customWidth="1"/>
    <col min="13331" max="13331" width="5.85546875" style="2" customWidth="1"/>
    <col min="13332" max="13338" width="0" style="2" hidden="1" customWidth="1"/>
    <col min="13339" max="13568" width="9" style="2"/>
    <col min="13569" max="13569" width="5" style="2" bestFit="1" customWidth="1"/>
    <col min="13570" max="13570" width="22.85546875" style="2" customWidth="1"/>
    <col min="13571" max="13571" width="15.42578125" style="2" customWidth="1"/>
    <col min="13572" max="13572" width="14.5703125" style="2" customWidth="1"/>
    <col min="13573" max="13573" width="11.28515625" style="2" customWidth="1"/>
    <col min="13574" max="13574" width="5.85546875" style="2" customWidth="1"/>
    <col min="13575" max="13575" width="11.85546875" style="2" bestFit="1" customWidth="1"/>
    <col min="13576" max="13576" width="10.42578125" style="2" customWidth="1"/>
    <col min="13577" max="13577" width="5.5703125" style="2" customWidth="1"/>
    <col min="13578" max="13578" width="7.5703125" style="2" customWidth="1"/>
    <col min="13579" max="13579" width="13.140625" style="2" bestFit="1" customWidth="1"/>
    <col min="13580" max="13581" width="7" style="2" customWidth="1"/>
    <col min="13582" max="13582" width="11.140625" style="2" customWidth="1"/>
    <col min="13583" max="13583" width="12.5703125" style="2" bestFit="1" customWidth="1"/>
    <col min="13584" max="13584" width="10.42578125" style="2" customWidth="1"/>
    <col min="13585" max="13585" width="7.42578125" style="2" customWidth="1"/>
    <col min="13586" max="13586" width="15.85546875" style="2" bestFit="1" customWidth="1"/>
    <col min="13587" max="13587" width="5.85546875" style="2" customWidth="1"/>
    <col min="13588" max="13594" width="0" style="2" hidden="1" customWidth="1"/>
    <col min="13595" max="13824" width="9" style="2"/>
    <col min="13825" max="13825" width="5" style="2" bestFit="1" customWidth="1"/>
    <col min="13826" max="13826" width="22.85546875" style="2" customWidth="1"/>
    <col min="13827" max="13827" width="15.42578125" style="2" customWidth="1"/>
    <col min="13828" max="13828" width="14.5703125" style="2" customWidth="1"/>
    <col min="13829" max="13829" width="11.28515625" style="2" customWidth="1"/>
    <col min="13830" max="13830" width="5.85546875" style="2" customWidth="1"/>
    <col min="13831" max="13831" width="11.85546875" style="2" bestFit="1" customWidth="1"/>
    <col min="13832" max="13832" width="10.42578125" style="2" customWidth="1"/>
    <col min="13833" max="13833" width="5.5703125" style="2" customWidth="1"/>
    <col min="13834" max="13834" width="7.5703125" style="2" customWidth="1"/>
    <col min="13835" max="13835" width="13.140625" style="2" bestFit="1" customWidth="1"/>
    <col min="13836" max="13837" width="7" style="2" customWidth="1"/>
    <col min="13838" max="13838" width="11.140625" style="2" customWidth="1"/>
    <col min="13839" max="13839" width="12.5703125" style="2" bestFit="1" customWidth="1"/>
    <col min="13840" max="13840" width="10.42578125" style="2" customWidth="1"/>
    <col min="13841" max="13841" width="7.42578125" style="2" customWidth="1"/>
    <col min="13842" max="13842" width="15.85546875" style="2" bestFit="1" customWidth="1"/>
    <col min="13843" max="13843" width="5.85546875" style="2" customWidth="1"/>
    <col min="13844" max="13850" width="0" style="2" hidden="1" customWidth="1"/>
    <col min="13851" max="14080" width="9" style="2"/>
    <col min="14081" max="14081" width="5" style="2" bestFit="1" customWidth="1"/>
    <col min="14082" max="14082" width="22.85546875" style="2" customWidth="1"/>
    <col min="14083" max="14083" width="15.42578125" style="2" customWidth="1"/>
    <col min="14084" max="14084" width="14.5703125" style="2" customWidth="1"/>
    <col min="14085" max="14085" width="11.28515625" style="2" customWidth="1"/>
    <col min="14086" max="14086" width="5.85546875" style="2" customWidth="1"/>
    <col min="14087" max="14087" width="11.85546875" style="2" bestFit="1" customWidth="1"/>
    <col min="14088" max="14088" width="10.42578125" style="2" customWidth="1"/>
    <col min="14089" max="14089" width="5.5703125" style="2" customWidth="1"/>
    <col min="14090" max="14090" width="7.5703125" style="2" customWidth="1"/>
    <col min="14091" max="14091" width="13.140625" style="2" bestFit="1" customWidth="1"/>
    <col min="14092" max="14093" width="7" style="2" customWidth="1"/>
    <col min="14094" max="14094" width="11.140625" style="2" customWidth="1"/>
    <col min="14095" max="14095" width="12.5703125" style="2" bestFit="1" customWidth="1"/>
    <col min="14096" max="14096" width="10.42578125" style="2" customWidth="1"/>
    <col min="14097" max="14097" width="7.42578125" style="2" customWidth="1"/>
    <col min="14098" max="14098" width="15.85546875" style="2" bestFit="1" customWidth="1"/>
    <col min="14099" max="14099" width="5.85546875" style="2" customWidth="1"/>
    <col min="14100" max="14106" width="0" style="2" hidden="1" customWidth="1"/>
    <col min="14107" max="14336" width="9" style="2"/>
    <col min="14337" max="14337" width="5" style="2" bestFit="1" customWidth="1"/>
    <col min="14338" max="14338" width="22.85546875" style="2" customWidth="1"/>
    <col min="14339" max="14339" width="15.42578125" style="2" customWidth="1"/>
    <col min="14340" max="14340" width="14.5703125" style="2" customWidth="1"/>
    <col min="14341" max="14341" width="11.28515625" style="2" customWidth="1"/>
    <col min="14342" max="14342" width="5.85546875" style="2" customWidth="1"/>
    <col min="14343" max="14343" width="11.85546875" style="2" bestFit="1" customWidth="1"/>
    <col min="14344" max="14344" width="10.42578125" style="2" customWidth="1"/>
    <col min="14345" max="14345" width="5.5703125" style="2" customWidth="1"/>
    <col min="14346" max="14346" width="7.5703125" style="2" customWidth="1"/>
    <col min="14347" max="14347" width="13.140625" style="2" bestFit="1" customWidth="1"/>
    <col min="14348" max="14349" width="7" style="2" customWidth="1"/>
    <col min="14350" max="14350" width="11.140625" style="2" customWidth="1"/>
    <col min="14351" max="14351" width="12.5703125" style="2" bestFit="1" customWidth="1"/>
    <col min="14352" max="14352" width="10.42578125" style="2" customWidth="1"/>
    <col min="14353" max="14353" width="7.42578125" style="2" customWidth="1"/>
    <col min="14354" max="14354" width="15.85546875" style="2" bestFit="1" customWidth="1"/>
    <col min="14355" max="14355" width="5.85546875" style="2" customWidth="1"/>
    <col min="14356" max="14362" width="0" style="2" hidden="1" customWidth="1"/>
    <col min="14363" max="14592" width="9" style="2"/>
    <col min="14593" max="14593" width="5" style="2" bestFit="1" customWidth="1"/>
    <col min="14594" max="14594" width="22.85546875" style="2" customWidth="1"/>
    <col min="14595" max="14595" width="15.42578125" style="2" customWidth="1"/>
    <col min="14596" max="14596" width="14.5703125" style="2" customWidth="1"/>
    <col min="14597" max="14597" width="11.28515625" style="2" customWidth="1"/>
    <col min="14598" max="14598" width="5.85546875" style="2" customWidth="1"/>
    <col min="14599" max="14599" width="11.85546875" style="2" bestFit="1" customWidth="1"/>
    <col min="14600" max="14600" width="10.42578125" style="2" customWidth="1"/>
    <col min="14601" max="14601" width="5.5703125" style="2" customWidth="1"/>
    <col min="14602" max="14602" width="7.5703125" style="2" customWidth="1"/>
    <col min="14603" max="14603" width="13.140625" style="2" bestFit="1" customWidth="1"/>
    <col min="14604" max="14605" width="7" style="2" customWidth="1"/>
    <col min="14606" max="14606" width="11.140625" style="2" customWidth="1"/>
    <col min="14607" max="14607" width="12.5703125" style="2" bestFit="1" customWidth="1"/>
    <col min="14608" max="14608" width="10.42578125" style="2" customWidth="1"/>
    <col min="14609" max="14609" width="7.42578125" style="2" customWidth="1"/>
    <col min="14610" max="14610" width="15.85546875" style="2" bestFit="1" customWidth="1"/>
    <col min="14611" max="14611" width="5.85546875" style="2" customWidth="1"/>
    <col min="14612" max="14618" width="0" style="2" hidden="1" customWidth="1"/>
    <col min="14619" max="14848" width="9" style="2"/>
    <col min="14849" max="14849" width="5" style="2" bestFit="1" customWidth="1"/>
    <col min="14850" max="14850" width="22.85546875" style="2" customWidth="1"/>
    <col min="14851" max="14851" width="15.42578125" style="2" customWidth="1"/>
    <col min="14852" max="14852" width="14.5703125" style="2" customWidth="1"/>
    <col min="14853" max="14853" width="11.28515625" style="2" customWidth="1"/>
    <col min="14854" max="14854" width="5.85546875" style="2" customWidth="1"/>
    <col min="14855" max="14855" width="11.85546875" style="2" bestFit="1" customWidth="1"/>
    <col min="14856" max="14856" width="10.42578125" style="2" customWidth="1"/>
    <col min="14857" max="14857" width="5.5703125" style="2" customWidth="1"/>
    <col min="14858" max="14858" width="7.5703125" style="2" customWidth="1"/>
    <col min="14859" max="14859" width="13.140625" style="2" bestFit="1" customWidth="1"/>
    <col min="14860" max="14861" width="7" style="2" customWidth="1"/>
    <col min="14862" max="14862" width="11.140625" style="2" customWidth="1"/>
    <col min="14863" max="14863" width="12.5703125" style="2" bestFit="1" customWidth="1"/>
    <col min="14864" max="14864" width="10.42578125" style="2" customWidth="1"/>
    <col min="14865" max="14865" width="7.42578125" style="2" customWidth="1"/>
    <col min="14866" max="14866" width="15.85546875" style="2" bestFit="1" customWidth="1"/>
    <col min="14867" max="14867" width="5.85546875" style="2" customWidth="1"/>
    <col min="14868" max="14874" width="0" style="2" hidden="1" customWidth="1"/>
    <col min="14875" max="15104" width="9" style="2"/>
    <col min="15105" max="15105" width="5" style="2" bestFit="1" customWidth="1"/>
    <col min="15106" max="15106" width="22.85546875" style="2" customWidth="1"/>
    <col min="15107" max="15107" width="15.42578125" style="2" customWidth="1"/>
    <col min="15108" max="15108" width="14.5703125" style="2" customWidth="1"/>
    <col min="15109" max="15109" width="11.28515625" style="2" customWidth="1"/>
    <col min="15110" max="15110" width="5.85546875" style="2" customWidth="1"/>
    <col min="15111" max="15111" width="11.85546875" style="2" bestFit="1" customWidth="1"/>
    <col min="15112" max="15112" width="10.42578125" style="2" customWidth="1"/>
    <col min="15113" max="15113" width="5.5703125" style="2" customWidth="1"/>
    <col min="15114" max="15114" width="7.5703125" style="2" customWidth="1"/>
    <col min="15115" max="15115" width="13.140625" style="2" bestFit="1" customWidth="1"/>
    <col min="15116" max="15117" width="7" style="2" customWidth="1"/>
    <col min="15118" max="15118" width="11.140625" style="2" customWidth="1"/>
    <col min="15119" max="15119" width="12.5703125" style="2" bestFit="1" customWidth="1"/>
    <col min="15120" max="15120" width="10.42578125" style="2" customWidth="1"/>
    <col min="15121" max="15121" width="7.42578125" style="2" customWidth="1"/>
    <col min="15122" max="15122" width="15.85546875" style="2" bestFit="1" customWidth="1"/>
    <col min="15123" max="15123" width="5.85546875" style="2" customWidth="1"/>
    <col min="15124" max="15130" width="0" style="2" hidden="1" customWidth="1"/>
    <col min="15131" max="15360" width="9" style="2"/>
    <col min="15361" max="15361" width="5" style="2" bestFit="1" customWidth="1"/>
    <col min="15362" max="15362" width="22.85546875" style="2" customWidth="1"/>
    <col min="15363" max="15363" width="15.42578125" style="2" customWidth="1"/>
    <col min="15364" max="15364" width="14.5703125" style="2" customWidth="1"/>
    <col min="15365" max="15365" width="11.28515625" style="2" customWidth="1"/>
    <col min="15366" max="15366" width="5.85546875" style="2" customWidth="1"/>
    <col min="15367" max="15367" width="11.85546875" style="2" bestFit="1" customWidth="1"/>
    <col min="15368" max="15368" width="10.42578125" style="2" customWidth="1"/>
    <col min="15369" max="15369" width="5.5703125" style="2" customWidth="1"/>
    <col min="15370" max="15370" width="7.5703125" style="2" customWidth="1"/>
    <col min="15371" max="15371" width="13.140625" style="2" bestFit="1" customWidth="1"/>
    <col min="15372" max="15373" width="7" style="2" customWidth="1"/>
    <col min="15374" max="15374" width="11.140625" style="2" customWidth="1"/>
    <col min="15375" max="15375" width="12.5703125" style="2" bestFit="1" customWidth="1"/>
    <col min="15376" max="15376" width="10.42578125" style="2" customWidth="1"/>
    <col min="15377" max="15377" width="7.42578125" style="2" customWidth="1"/>
    <col min="15378" max="15378" width="15.85546875" style="2" bestFit="1" customWidth="1"/>
    <col min="15379" max="15379" width="5.85546875" style="2" customWidth="1"/>
    <col min="15380" max="15386" width="0" style="2" hidden="1" customWidth="1"/>
    <col min="15387" max="15616" width="9" style="2"/>
    <col min="15617" max="15617" width="5" style="2" bestFit="1" customWidth="1"/>
    <col min="15618" max="15618" width="22.85546875" style="2" customWidth="1"/>
    <col min="15619" max="15619" width="15.42578125" style="2" customWidth="1"/>
    <col min="15620" max="15620" width="14.5703125" style="2" customWidth="1"/>
    <col min="15621" max="15621" width="11.28515625" style="2" customWidth="1"/>
    <col min="15622" max="15622" width="5.85546875" style="2" customWidth="1"/>
    <col min="15623" max="15623" width="11.85546875" style="2" bestFit="1" customWidth="1"/>
    <col min="15624" max="15624" width="10.42578125" style="2" customWidth="1"/>
    <col min="15625" max="15625" width="5.5703125" style="2" customWidth="1"/>
    <col min="15626" max="15626" width="7.5703125" style="2" customWidth="1"/>
    <col min="15627" max="15627" width="13.140625" style="2" bestFit="1" customWidth="1"/>
    <col min="15628" max="15629" width="7" style="2" customWidth="1"/>
    <col min="15630" max="15630" width="11.140625" style="2" customWidth="1"/>
    <col min="15631" max="15631" width="12.5703125" style="2" bestFit="1" customWidth="1"/>
    <col min="15632" max="15632" width="10.42578125" style="2" customWidth="1"/>
    <col min="15633" max="15633" width="7.42578125" style="2" customWidth="1"/>
    <col min="15634" max="15634" width="15.85546875" style="2" bestFit="1" customWidth="1"/>
    <col min="15635" max="15635" width="5.85546875" style="2" customWidth="1"/>
    <col min="15636" max="15642" width="0" style="2" hidden="1" customWidth="1"/>
    <col min="15643" max="15872" width="9" style="2"/>
    <col min="15873" max="15873" width="5" style="2" bestFit="1" customWidth="1"/>
    <col min="15874" max="15874" width="22.85546875" style="2" customWidth="1"/>
    <col min="15875" max="15875" width="15.42578125" style="2" customWidth="1"/>
    <col min="15876" max="15876" width="14.5703125" style="2" customWidth="1"/>
    <col min="15877" max="15877" width="11.28515625" style="2" customWidth="1"/>
    <col min="15878" max="15878" width="5.85546875" style="2" customWidth="1"/>
    <col min="15879" max="15879" width="11.85546875" style="2" bestFit="1" customWidth="1"/>
    <col min="15880" max="15880" width="10.42578125" style="2" customWidth="1"/>
    <col min="15881" max="15881" width="5.5703125" style="2" customWidth="1"/>
    <col min="15882" max="15882" width="7.5703125" style="2" customWidth="1"/>
    <col min="15883" max="15883" width="13.140625" style="2" bestFit="1" customWidth="1"/>
    <col min="15884" max="15885" width="7" style="2" customWidth="1"/>
    <col min="15886" max="15886" width="11.140625" style="2" customWidth="1"/>
    <col min="15887" max="15887" width="12.5703125" style="2" bestFit="1" customWidth="1"/>
    <col min="15888" max="15888" width="10.42578125" style="2" customWidth="1"/>
    <col min="15889" max="15889" width="7.42578125" style="2" customWidth="1"/>
    <col min="15890" max="15890" width="15.85546875" style="2" bestFit="1" customWidth="1"/>
    <col min="15891" max="15891" width="5.85546875" style="2" customWidth="1"/>
    <col min="15892" max="15898" width="0" style="2" hidden="1" customWidth="1"/>
    <col min="15899" max="16128" width="9" style="2"/>
    <col min="16129" max="16129" width="5" style="2" bestFit="1" customWidth="1"/>
    <col min="16130" max="16130" width="22.85546875" style="2" customWidth="1"/>
    <col min="16131" max="16131" width="15.42578125" style="2" customWidth="1"/>
    <col min="16132" max="16132" width="14.5703125" style="2" customWidth="1"/>
    <col min="16133" max="16133" width="11.28515625" style="2" customWidth="1"/>
    <col min="16134" max="16134" width="5.85546875" style="2" customWidth="1"/>
    <col min="16135" max="16135" width="11.85546875" style="2" bestFit="1" customWidth="1"/>
    <col min="16136" max="16136" width="10.42578125" style="2" customWidth="1"/>
    <col min="16137" max="16137" width="5.5703125" style="2" customWidth="1"/>
    <col min="16138" max="16138" width="7.5703125" style="2" customWidth="1"/>
    <col min="16139" max="16139" width="13.140625" style="2" bestFit="1" customWidth="1"/>
    <col min="16140" max="16141" width="7" style="2" customWidth="1"/>
    <col min="16142" max="16142" width="11.140625" style="2" customWidth="1"/>
    <col min="16143" max="16143" width="12.5703125" style="2" bestFit="1" customWidth="1"/>
    <col min="16144" max="16144" width="10.42578125" style="2" customWidth="1"/>
    <col min="16145" max="16145" width="7.42578125" style="2" customWidth="1"/>
    <col min="16146" max="16146" width="15.85546875" style="2" bestFit="1" customWidth="1"/>
    <col min="16147" max="16147" width="5.85546875" style="2" customWidth="1"/>
    <col min="16148" max="16154" width="0" style="2" hidden="1" customWidth="1"/>
    <col min="16155" max="16384" width="9" style="2"/>
  </cols>
  <sheetData>
    <row r="1" spans="1:28" ht="20.25" x14ac:dyDescent="0.35">
      <c r="A1" s="80"/>
      <c r="B1" s="143" t="s">
        <v>59</v>
      </c>
      <c r="C1" s="143"/>
      <c r="D1" s="77"/>
      <c r="E1" s="77"/>
      <c r="F1" s="77"/>
      <c r="G1" s="77"/>
      <c r="H1" s="77"/>
      <c r="I1" s="77"/>
      <c r="J1" s="139" t="s">
        <v>66</v>
      </c>
      <c r="K1" s="139"/>
      <c r="L1" s="139"/>
      <c r="M1" s="139"/>
      <c r="N1" s="139"/>
      <c r="O1" s="139"/>
      <c r="P1" s="139"/>
      <c r="Q1" s="139"/>
      <c r="R1" s="139"/>
      <c r="S1" s="139"/>
    </row>
    <row r="2" spans="1:28" ht="23.45" customHeight="1" x14ac:dyDescent="0.3">
      <c r="A2" s="140" t="s">
        <v>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28" ht="31.5" customHeight="1" x14ac:dyDescent="0.3">
      <c r="A3" s="141" t="s">
        <v>67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1:28" s="8" customFormat="1" hidden="1" x14ac:dyDescent="0.2">
      <c r="A4" s="3"/>
      <c r="B4" s="23"/>
      <c r="C4" s="84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7"/>
      <c r="Q4" s="23"/>
      <c r="R4" s="23"/>
      <c r="S4" s="23"/>
    </row>
    <row r="5" spans="1:28" s="8" customFormat="1" ht="20.45" customHeight="1" x14ac:dyDescent="0.2">
      <c r="A5" s="3"/>
      <c r="B5" s="23"/>
      <c r="C5" s="84"/>
      <c r="D5" s="74">
        <f>D6+I6+M6+P6</f>
        <v>3.5859885280836766E-6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7"/>
      <c r="Q5" s="23"/>
      <c r="R5" s="144" t="s">
        <v>63</v>
      </c>
      <c r="S5" s="144"/>
    </row>
    <row r="6" spans="1:28" s="8" customFormat="1" ht="21.95" hidden="1" customHeight="1" x14ac:dyDescent="0.2">
      <c r="A6" s="1" t="s">
        <v>56</v>
      </c>
      <c r="B6" s="26">
        <v>1000000000</v>
      </c>
      <c r="C6" s="81"/>
      <c r="D6" s="70">
        <f>(SUM(D11:H11))/1000000000</f>
        <v>2.234803510101187E-6</v>
      </c>
      <c r="E6" s="40">
        <f>D12+E12+G12+H12</f>
        <v>0.62292414127323226</v>
      </c>
      <c r="F6" s="39">
        <v>0</v>
      </c>
      <c r="G6" s="39">
        <v>0</v>
      </c>
      <c r="H6" s="39">
        <v>0</v>
      </c>
      <c r="I6" s="70">
        <f>(SUM(I11:J11))/1000000000</f>
        <v>1.2908114626E-9</v>
      </c>
      <c r="J6" s="40">
        <f>I12+J12</f>
        <v>3.5995973006913077E-4</v>
      </c>
      <c r="K6" s="39">
        <v>0</v>
      </c>
      <c r="L6" s="39">
        <v>0</v>
      </c>
      <c r="M6" s="70">
        <f>(SUM(K11:O11))/1000000000</f>
        <v>1.8575904474192192E-7</v>
      </c>
      <c r="N6" s="40">
        <f>K12+M12+N12+O12</f>
        <v>5.1801349415133251E-2</v>
      </c>
      <c r="O6" s="39">
        <v>0</v>
      </c>
      <c r="P6" s="70">
        <f>(SUM(P11:R11))/1000000000</f>
        <v>1.164135161777968E-6</v>
      </c>
      <c r="Q6" s="40">
        <f>R12+P12</f>
        <v>0.2199700529118819</v>
      </c>
      <c r="S6" s="13"/>
    </row>
    <row r="7" spans="1:28" s="8" customFormat="1" ht="19.5" customHeight="1" x14ac:dyDescent="0.2">
      <c r="A7" s="142" t="s">
        <v>4</v>
      </c>
      <c r="B7" s="138" t="s">
        <v>5</v>
      </c>
      <c r="C7" s="138" t="s">
        <v>6</v>
      </c>
      <c r="D7" s="138" t="s">
        <v>7</v>
      </c>
      <c r="E7" s="138"/>
      <c r="F7" s="138"/>
      <c r="G7" s="138"/>
      <c r="H7" s="138"/>
      <c r="I7" s="138" t="s">
        <v>8</v>
      </c>
      <c r="J7" s="138"/>
      <c r="K7" s="138" t="s">
        <v>9</v>
      </c>
      <c r="L7" s="138"/>
      <c r="M7" s="138"/>
      <c r="N7" s="138"/>
      <c r="O7" s="138"/>
      <c r="P7" s="138" t="s">
        <v>10</v>
      </c>
      <c r="Q7" s="138"/>
      <c r="R7" s="138"/>
      <c r="S7" s="138" t="s">
        <v>11</v>
      </c>
    </row>
    <row r="8" spans="1:28" s="8" customFormat="1" ht="117" customHeight="1" x14ac:dyDescent="0.2">
      <c r="A8" s="142"/>
      <c r="B8" s="138"/>
      <c r="C8" s="138"/>
      <c r="D8" s="14" t="s">
        <v>12</v>
      </c>
      <c r="E8" s="14" t="s">
        <v>13</v>
      </c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4" t="s">
        <v>20</v>
      </c>
      <c r="M8" s="14" t="s">
        <v>21</v>
      </c>
      <c r="N8" s="14" t="s">
        <v>22</v>
      </c>
      <c r="O8" s="14" t="s">
        <v>23</v>
      </c>
      <c r="P8" s="14" t="s">
        <v>24</v>
      </c>
      <c r="Q8" s="14" t="s">
        <v>25</v>
      </c>
      <c r="R8" s="15" t="s">
        <v>10</v>
      </c>
      <c r="S8" s="138"/>
    </row>
    <row r="9" spans="1:28" s="8" customFormat="1" ht="15" x14ac:dyDescent="0.25">
      <c r="A9" s="86" t="s">
        <v>26</v>
      </c>
      <c r="B9" s="87" t="s">
        <v>27</v>
      </c>
      <c r="C9" s="87" t="s">
        <v>28</v>
      </c>
      <c r="D9" s="88">
        <v>2</v>
      </c>
      <c r="E9" s="89">
        <v>3</v>
      </c>
      <c r="F9" s="88">
        <v>4</v>
      </c>
      <c r="G9" s="88">
        <v>5</v>
      </c>
      <c r="H9" s="88">
        <v>6</v>
      </c>
      <c r="I9" s="88">
        <v>7</v>
      </c>
      <c r="J9" s="88">
        <v>8</v>
      </c>
      <c r="K9" s="88">
        <v>9</v>
      </c>
      <c r="L9" s="88">
        <v>10</v>
      </c>
      <c r="M9" s="88">
        <v>11</v>
      </c>
      <c r="N9" s="88">
        <v>12</v>
      </c>
      <c r="O9" s="88">
        <v>13</v>
      </c>
      <c r="P9" s="88">
        <v>14</v>
      </c>
      <c r="Q9" s="88">
        <v>15</v>
      </c>
      <c r="R9" s="88">
        <v>16</v>
      </c>
      <c r="S9" s="14">
        <v>17</v>
      </c>
    </row>
    <row r="10" spans="1:28" s="8" customFormat="1" ht="20.100000000000001" hidden="1" customHeight="1" x14ac:dyDescent="0.2">
      <c r="A10" s="86"/>
      <c r="B10" s="87"/>
      <c r="C10" s="87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14"/>
    </row>
    <row r="11" spans="1:28" s="19" customFormat="1" ht="24" customHeight="1" x14ac:dyDescent="0.2">
      <c r="A11" s="91"/>
      <c r="B11" s="92" t="s">
        <v>29</v>
      </c>
      <c r="C11" s="124">
        <f t="shared" ref="C11:R11" si="0">SUM(C13:C35)</f>
        <v>3585.988528083677</v>
      </c>
      <c r="D11" s="124">
        <f t="shared" si="0"/>
        <v>1758.430267337721</v>
      </c>
      <c r="E11" s="124">
        <f t="shared" si="0"/>
        <v>8.7106842059999998</v>
      </c>
      <c r="F11" s="124">
        <f t="shared" si="0"/>
        <v>1.0046856290000001</v>
      </c>
      <c r="G11" s="124">
        <f t="shared" si="0"/>
        <v>402.55467800046563</v>
      </c>
      <c r="H11" s="124">
        <f t="shared" si="0"/>
        <v>64.103194927999994</v>
      </c>
      <c r="I11" s="124">
        <f t="shared" si="0"/>
        <v>0</v>
      </c>
      <c r="J11" s="124">
        <f t="shared" si="0"/>
        <v>1.2908114626</v>
      </c>
      <c r="K11" s="124">
        <f t="shared" si="0"/>
        <v>153.60150976900002</v>
      </c>
      <c r="L11" s="124">
        <f t="shared" si="0"/>
        <v>0</v>
      </c>
      <c r="M11" s="124">
        <f t="shared" si="0"/>
        <v>2.354616391</v>
      </c>
      <c r="N11" s="124">
        <f t="shared" si="0"/>
        <v>29.802918581921897</v>
      </c>
      <c r="O11" s="124">
        <f t="shared" si="0"/>
        <v>0</v>
      </c>
      <c r="P11" s="124">
        <f t="shared" si="0"/>
        <v>0.464384623</v>
      </c>
      <c r="Q11" s="124">
        <f t="shared" si="0"/>
        <v>375.32507551400016</v>
      </c>
      <c r="R11" s="124">
        <f t="shared" si="0"/>
        <v>788.34570164096795</v>
      </c>
      <c r="S11" s="27"/>
      <c r="T11" s="18" t="e">
        <f>D11-#REF!</f>
        <v>#REF!</v>
      </c>
      <c r="V11" s="20">
        <f>(D11+E11)/C11</f>
        <v>0.49279046424838024</v>
      </c>
      <c r="W11" s="20">
        <f>(K11+N11)/C11</f>
        <v>5.1144733708596589E-2</v>
      </c>
      <c r="X11" s="21">
        <f>1-V11-W11</f>
        <v>0.45606480204302319</v>
      </c>
      <c r="AA11" s="69">
        <f>SUM(D11:R11)</f>
        <v>3585.988528083677</v>
      </c>
      <c r="AB11" s="69">
        <f>AA11-C11</f>
        <v>0</v>
      </c>
    </row>
    <row r="12" spans="1:28" s="79" customFormat="1" ht="24" customHeight="1" x14ac:dyDescent="0.2">
      <c r="A12" s="93"/>
      <c r="B12" s="94" t="s">
        <v>58</v>
      </c>
      <c r="C12" s="125"/>
      <c r="D12" s="123">
        <f>D11/C11</f>
        <v>0.4903613755500249</v>
      </c>
      <c r="E12" s="123">
        <f>E11/C11</f>
        <v>2.4290886983553508E-3</v>
      </c>
      <c r="F12" s="123">
        <f>F11/C11</f>
        <v>2.8016978334754908E-4</v>
      </c>
      <c r="G12" s="123">
        <f>G11/C11</f>
        <v>0.11225765917761805</v>
      </c>
      <c r="H12" s="123">
        <f>H11/C11</f>
        <v>1.7876017847233944E-2</v>
      </c>
      <c r="I12" s="123">
        <f>I11/C11</f>
        <v>0</v>
      </c>
      <c r="J12" s="123">
        <f>J11/C11</f>
        <v>3.5995973006913077E-4</v>
      </c>
      <c r="K12" s="123">
        <f>K11/C11</f>
        <v>4.2833798425753307E-2</v>
      </c>
      <c r="L12" s="123"/>
      <c r="M12" s="123">
        <f>M11/C11</f>
        <v>6.5661570653665409E-4</v>
      </c>
      <c r="N12" s="123">
        <f>N11/C11</f>
        <v>8.3109352828432872E-3</v>
      </c>
      <c r="O12" s="123">
        <f>O11/C11</f>
        <v>0</v>
      </c>
      <c r="P12" s="123">
        <f>P11/C11</f>
        <v>1.2949975142507311E-4</v>
      </c>
      <c r="Q12" s="123">
        <f>Q11/C11</f>
        <v>0.10466432688633581</v>
      </c>
      <c r="R12" s="123">
        <f>R11/C11</f>
        <v>0.21984055316045684</v>
      </c>
      <c r="S12" s="41"/>
      <c r="V12" s="20"/>
      <c r="W12" s="20"/>
      <c r="AB12" s="79">
        <f t="shared" ref="AB12:AB35" si="1">AA12-C12</f>
        <v>0</v>
      </c>
    </row>
    <row r="13" spans="1:28" ht="24" customHeight="1" x14ac:dyDescent="0.2">
      <c r="A13" s="137">
        <v>1</v>
      </c>
      <c r="B13" s="136" t="s">
        <v>31</v>
      </c>
      <c r="C13" s="126"/>
      <c r="D13" s="135">
        <f t="shared" ref="D13:R15" si="2">0/(10^9)</f>
        <v>0</v>
      </c>
      <c r="E13" s="135">
        <f t="shared" si="2"/>
        <v>0</v>
      </c>
      <c r="F13" s="135">
        <f t="shared" si="2"/>
        <v>0</v>
      </c>
      <c r="G13" s="135">
        <f t="shared" si="2"/>
        <v>0</v>
      </c>
      <c r="H13" s="135">
        <f t="shared" si="2"/>
        <v>0</v>
      </c>
      <c r="I13" s="135">
        <f t="shared" si="2"/>
        <v>0</v>
      </c>
      <c r="J13" s="135">
        <f t="shared" si="2"/>
        <v>0</v>
      </c>
      <c r="K13" s="135">
        <f t="shared" si="2"/>
        <v>0</v>
      </c>
      <c r="L13" s="135">
        <f t="shared" si="2"/>
        <v>0</v>
      </c>
      <c r="M13" s="135">
        <f t="shared" si="2"/>
        <v>0</v>
      </c>
      <c r="N13" s="135">
        <f t="shared" si="2"/>
        <v>0</v>
      </c>
      <c r="O13" s="135">
        <f t="shared" si="2"/>
        <v>0</v>
      </c>
      <c r="P13" s="135">
        <f t="shared" si="2"/>
        <v>0</v>
      </c>
      <c r="Q13" s="135">
        <f t="shared" si="2"/>
        <v>0</v>
      </c>
      <c r="R13" s="135">
        <f t="shared" si="2"/>
        <v>0</v>
      </c>
      <c r="S13" s="134"/>
      <c r="AA13" s="69">
        <f t="shared" ref="AA13:AA35" si="3">SUM(D13:R13)</f>
        <v>0</v>
      </c>
      <c r="AB13" s="69">
        <f t="shared" si="1"/>
        <v>0</v>
      </c>
    </row>
    <row r="14" spans="1:28" ht="24" customHeight="1" x14ac:dyDescent="0.2">
      <c r="A14" s="137">
        <v>2</v>
      </c>
      <c r="B14" s="136" t="s">
        <v>30</v>
      </c>
      <c r="C14" s="126"/>
      <c r="D14" s="135">
        <f t="shared" si="2"/>
        <v>0</v>
      </c>
      <c r="E14" s="135">
        <f t="shared" si="2"/>
        <v>0</v>
      </c>
      <c r="F14" s="135">
        <f t="shared" si="2"/>
        <v>0</v>
      </c>
      <c r="G14" s="135">
        <f t="shared" si="2"/>
        <v>0</v>
      </c>
      <c r="H14" s="135">
        <f t="shared" si="2"/>
        <v>0</v>
      </c>
      <c r="I14" s="135">
        <f t="shared" si="2"/>
        <v>0</v>
      </c>
      <c r="J14" s="135">
        <f t="shared" si="2"/>
        <v>0</v>
      </c>
      <c r="K14" s="135">
        <f t="shared" si="2"/>
        <v>0</v>
      </c>
      <c r="L14" s="135">
        <f t="shared" si="2"/>
        <v>0</v>
      </c>
      <c r="M14" s="135">
        <f t="shared" si="2"/>
        <v>0</v>
      </c>
      <c r="N14" s="135">
        <f t="shared" si="2"/>
        <v>0</v>
      </c>
      <c r="O14" s="135">
        <f t="shared" si="2"/>
        <v>0</v>
      </c>
      <c r="P14" s="135">
        <f t="shared" si="2"/>
        <v>0</v>
      </c>
      <c r="Q14" s="135">
        <f t="shared" si="2"/>
        <v>0</v>
      </c>
      <c r="R14" s="135">
        <f t="shared" si="2"/>
        <v>0</v>
      </c>
      <c r="S14" s="134"/>
      <c r="AA14" s="69">
        <f t="shared" si="3"/>
        <v>0</v>
      </c>
      <c r="AB14" s="69">
        <f t="shared" si="1"/>
        <v>0</v>
      </c>
    </row>
    <row r="15" spans="1:28" ht="24" customHeight="1" x14ac:dyDescent="0.2">
      <c r="A15" s="137">
        <v>3</v>
      </c>
      <c r="B15" s="136" t="s">
        <v>32</v>
      </c>
      <c r="C15" s="126"/>
      <c r="D15" s="135">
        <f t="shared" si="2"/>
        <v>0</v>
      </c>
      <c r="E15" s="135">
        <f t="shared" si="2"/>
        <v>0</v>
      </c>
      <c r="F15" s="135">
        <f t="shared" si="2"/>
        <v>0</v>
      </c>
      <c r="G15" s="135">
        <f t="shared" si="2"/>
        <v>0</v>
      </c>
      <c r="H15" s="135">
        <f t="shared" si="2"/>
        <v>0</v>
      </c>
      <c r="I15" s="135">
        <f t="shared" si="2"/>
        <v>0</v>
      </c>
      <c r="J15" s="135">
        <f t="shared" si="2"/>
        <v>0</v>
      </c>
      <c r="K15" s="135">
        <f t="shared" si="2"/>
        <v>0</v>
      </c>
      <c r="L15" s="135">
        <f t="shared" si="2"/>
        <v>0</v>
      </c>
      <c r="M15" s="135">
        <f t="shared" si="2"/>
        <v>0</v>
      </c>
      <c r="N15" s="135">
        <f t="shared" si="2"/>
        <v>0</v>
      </c>
      <c r="O15" s="135">
        <f t="shared" si="2"/>
        <v>0</v>
      </c>
      <c r="P15" s="135">
        <f t="shared" si="2"/>
        <v>0</v>
      </c>
      <c r="Q15" s="135">
        <f t="shared" si="2"/>
        <v>0</v>
      </c>
      <c r="R15" s="135">
        <f t="shared" si="2"/>
        <v>0</v>
      </c>
      <c r="S15" s="134"/>
      <c r="AA15" s="69">
        <f t="shared" si="3"/>
        <v>0</v>
      </c>
      <c r="AB15" s="69">
        <f t="shared" si="1"/>
        <v>0</v>
      </c>
    </row>
    <row r="16" spans="1:28" ht="24" customHeight="1" x14ac:dyDescent="0.2">
      <c r="A16" s="137">
        <v>4</v>
      </c>
      <c r="B16" s="136" t="s">
        <v>68</v>
      </c>
      <c r="C16" s="126">
        <f>SUM(D16:R16)</f>
        <v>80.025662222999998</v>
      </c>
      <c r="D16" s="135">
        <f>80025662223/(10^9)</f>
        <v>80.025662222999998</v>
      </c>
      <c r="E16" s="135">
        <f t="shared" ref="E16:R17" si="4">0/(10^9)</f>
        <v>0</v>
      </c>
      <c r="F16" s="135">
        <f t="shared" si="4"/>
        <v>0</v>
      </c>
      <c r="G16" s="135">
        <f t="shared" si="4"/>
        <v>0</v>
      </c>
      <c r="H16" s="135">
        <f t="shared" si="4"/>
        <v>0</v>
      </c>
      <c r="I16" s="135">
        <f t="shared" si="4"/>
        <v>0</v>
      </c>
      <c r="J16" s="135">
        <f t="shared" si="4"/>
        <v>0</v>
      </c>
      <c r="K16" s="135">
        <f t="shared" si="4"/>
        <v>0</v>
      </c>
      <c r="L16" s="135">
        <f t="shared" si="4"/>
        <v>0</v>
      </c>
      <c r="M16" s="135">
        <f t="shared" si="4"/>
        <v>0</v>
      </c>
      <c r="N16" s="135">
        <f t="shared" si="4"/>
        <v>0</v>
      </c>
      <c r="O16" s="135">
        <f t="shared" si="4"/>
        <v>0</v>
      </c>
      <c r="P16" s="135">
        <f t="shared" si="4"/>
        <v>0</v>
      </c>
      <c r="Q16" s="135">
        <f t="shared" si="4"/>
        <v>0</v>
      </c>
      <c r="R16" s="135">
        <f t="shared" si="4"/>
        <v>0</v>
      </c>
      <c r="S16" s="134"/>
      <c r="AA16" s="69">
        <f t="shared" si="3"/>
        <v>80.025662222999998</v>
      </c>
      <c r="AB16" s="69">
        <f t="shared" si="1"/>
        <v>0</v>
      </c>
    </row>
    <row r="17" spans="1:28" ht="24" customHeight="1" x14ac:dyDescent="0.2">
      <c r="A17" s="137">
        <v>5</v>
      </c>
      <c r="B17" s="136" t="s">
        <v>69</v>
      </c>
      <c r="C17" s="126">
        <f t="shared" ref="C17:C35" si="5">SUM(D17:R17)</f>
        <v>13.481601340200001</v>
      </c>
      <c r="D17" s="135">
        <f>13481601340.2/(10^9)</f>
        <v>13.481601340200001</v>
      </c>
      <c r="E17" s="135">
        <f t="shared" si="4"/>
        <v>0</v>
      </c>
      <c r="F17" s="135">
        <f t="shared" si="4"/>
        <v>0</v>
      </c>
      <c r="G17" s="135">
        <f t="shared" si="4"/>
        <v>0</v>
      </c>
      <c r="H17" s="135">
        <f t="shared" si="4"/>
        <v>0</v>
      </c>
      <c r="I17" s="135">
        <f t="shared" si="4"/>
        <v>0</v>
      </c>
      <c r="J17" s="135">
        <f t="shared" si="4"/>
        <v>0</v>
      </c>
      <c r="K17" s="135">
        <f t="shared" si="4"/>
        <v>0</v>
      </c>
      <c r="L17" s="135">
        <f t="shared" si="4"/>
        <v>0</v>
      </c>
      <c r="M17" s="135">
        <f t="shared" si="4"/>
        <v>0</v>
      </c>
      <c r="N17" s="135">
        <f t="shared" si="4"/>
        <v>0</v>
      </c>
      <c r="O17" s="135">
        <f t="shared" si="4"/>
        <v>0</v>
      </c>
      <c r="P17" s="135">
        <f t="shared" si="4"/>
        <v>0</v>
      </c>
      <c r="Q17" s="135">
        <f t="shared" si="4"/>
        <v>0</v>
      </c>
      <c r="R17" s="135">
        <f t="shared" si="4"/>
        <v>0</v>
      </c>
      <c r="S17" s="134"/>
      <c r="AA17" s="69">
        <f t="shared" si="3"/>
        <v>13.481601340200001</v>
      </c>
      <c r="AB17" s="69">
        <f t="shared" si="1"/>
        <v>0</v>
      </c>
    </row>
    <row r="18" spans="1:28" ht="24" customHeight="1" x14ac:dyDescent="0.2">
      <c r="A18" s="137">
        <v>6</v>
      </c>
      <c r="B18" s="136" t="s">
        <v>36</v>
      </c>
      <c r="C18" s="126">
        <f t="shared" si="5"/>
        <v>61.432258112</v>
      </c>
      <c r="D18" s="135">
        <f>1029563770/(10^9)</f>
        <v>1.02956377</v>
      </c>
      <c r="E18" s="135">
        <f>307830000/(10^9)</f>
        <v>0.30782999999999999</v>
      </c>
      <c r="F18" s="135">
        <f t="shared" ref="F18:P19" si="6">0/(10^9)</f>
        <v>0</v>
      </c>
      <c r="G18" s="135">
        <f t="shared" si="6"/>
        <v>0</v>
      </c>
      <c r="H18" s="135">
        <f t="shared" si="6"/>
        <v>0</v>
      </c>
      <c r="I18" s="135">
        <f t="shared" si="6"/>
        <v>0</v>
      </c>
      <c r="J18" s="135">
        <f t="shared" si="6"/>
        <v>0</v>
      </c>
      <c r="K18" s="135">
        <f t="shared" si="6"/>
        <v>0</v>
      </c>
      <c r="L18" s="135">
        <f t="shared" si="6"/>
        <v>0</v>
      </c>
      <c r="M18" s="135">
        <f t="shared" si="6"/>
        <v>0</v>
      </c>
      <c r="N18" s="135">
        <f t="shared" si="6"/>
        <v>0</v>
      </c>
      <c r="O18" s="135">
        <f t="shared" si="6"/>
        <v>0</v>
      </c>
      <c r="P18" s="135">
        <f t="shared" si="6"/>
        <v>0</v>
      </c>
      <c r="Q18" s="135">
        <f>60094864342/(10^9)</f>
        <v>60.094864342000001</v>
      </c>
      <c r="R18" s="135">
        <f>0/(10^9)</f>
        <v>0</v>
      </c>
      <c r="S18" s="134"/>
      <c r="AA18" s="69">
        <f t="shared" si="3"/>
        <v>61.432258112</v>
      </c>
      <c r="AB18" s="69">
        <f t="shared" si="1"/>
        <v>0</v>
      </c>
    </row>
    <row r="19" spans="1:28" ht="24" customHeight="1" x14ac:dyDescent="0.2">
      <c r="A19" s="137">
        <v>7</v>
      </c>
      <c r="B19" s="136" t="s">
        <v>37</v>
      </c>
      <c r="C19" s="126">
        <f t="shared" si="5"/>
        <v>57.339703630000201</v>
      </c>
      <c r="D19" s="135">
        <f>57339703630.0002/(10^9)</f>
        <v>57.339703630000201</v>
      </c>
      <c r="E19" s="135">
        <f>0/(10^9)</f>
        <v>0</v>
      </c>
      <c r="F19" s="135">
        <f t="shared" si="6"/>
        <v>0</v>
      </c>
      <c r="G19" s="135">
        <f t="shared" si="6"/>
        <v>0</v>
      </c>
      <c r="H19" s="135">
        <f t="shared" si="6"/>
        <v>0</v>
      </c>
      <c r="I19" s="135">
        <f t="shared" si="6"/>
        <v>0</v>
      </c>
      <c r="J19" s="135">
        <f t="shared" si="6"/>
        <v>0</v>
      </c>
      <c r="K19" s="135">
        <f t="shared" si="6"/>
        <v>0</v>
      </c>
      <c r="L19" s="135">
        <f t="shared" si="6"/>
        <v>0</v>
      </c>
      <c r="M19" s="135">
        <f t="shared" si="6"/>
        <v>0</v>
      </c>
      <c r="N19" s="135">
        <f t="shared" si="6"/>
        <v>0</v>
      </c>
      <c r="O19" s="135">
        <f t="shared" si="6"/>
        <v>0</v>
      </c>
      <c r="P19" s="135">
        <f t="shared" si="6"/>
        <v>0</v>
      </c>
      <c r="Q19" s="135">
        <f>0/(10^9)</f>
        <v>0</v>
      </c>
      <c r="R19" s="135">
        <f>0/(10^9)</f>
        <v>0</v>
      </c>
      <c r="S19" s="134"/>
      <c r="AA19" s="69">
        <f t="shared" si="3"/>
        <v>57.339703630000201</v>
      </c>
      <c r="AB19" s="69">
        <f t="shared" si="1"/>
        <v>0</v>
      </c>
    </row>
    <row r="20" spans="1:28" ht="24" customHeight="1" x14ac:dyDescent="0.2">
      <c r="A20" s="137">
        <v>8</v>
      </c>
      <c r="B20" s="136" t="s">
        <v>38</v>
      </c>
      <c r="C20" s="126">
        <f t="shared" si="5"/>
        <v>77.242227293000013</v>
      </c>
      <c r="D20" s="135">
        <f>26795344001/(10^9)</f>
        <v>26.795344001</v>
      </c>
      <c r="E20" s="135">
        <f>0/(10^9)</f>
        <v>0</v>
      </c>
      <c r="F20" s="135">
        <f>0/(10^9)</f>
        <v>0</v>
      </c>
      <c r="G20" s="135">
        <f>0/(10^9)</f>
        <v>0</v>
      </c>
      <c r="H20" s="135">
        <f>0/(10^9)</f>
        <v>0</v>
      </c>
      <c r="I20" s="135">
        <f>0/(10^9)</f>
        <v>0</v>
      </c>
      <c r="J20" s="135">
        <f>0/(10^9)</f>
        <v>0</v>
      </c>
      <c r="K20" s="135">
        <f>2127174000/(10^9)</f>
        <v>2.1271740000000001</v>
      </c>
      <c r="L20" s="135">
        <f t="shared" ref="L20:P22" si="7">0/(10^9)</f>
        <v>0</v>
      </c>
      <c r="M20" s="135">
        <f t="shared" si="7"/>
        <v>0</v>
      </c>
      <c r="N20" s="135">
        <f t="shared" si="7"/>
        <v>0</v>
      </c>
      <c r="O20" s="135">
        <f t="shared" si="7"/>
        <v>0</v>
      </c>
      <c r="P20" s="135">
        <f t="shared" si="7"/>
        <v>0</v>
      </c>
      <c r="Q20" s="135">
        <f>43176076183/(10^9)</f>
        <v>43.176076182999999</v>
      </c>
      <c r="R20" s="135">
        <f>5143633109/(10^9)</f>
        <v>5.1436331089999996</v>
      </c>
      <c r="S20" s="134"/>
      <c r="AA20" s="69">
        <f t="shared" si="3"/>
        <v>77.242227293000013</v>
      </c>
      <c r="AB20" s="69">
        <f t="shared" si="1"/>
        <v>0</v>
      </c>
    </row>
    <row r="21" spans="1:28" ht="24" customHeight="1" x14ac:dyDescent="0.2">
      <c r="A21" s="137">
        <v>9</v>
      </c>
      <c r="B21" s="136" t="s">
        <v>39</v>
      </c>
      <c r="C21" s="126">
        <f t="shared" si="5"/>
        <v>419.33107112599998</v>
      </c>
      <c r="D21" s="135">
        <f>2982503745/(10^9)</f>
        <v>2.9825037449999998</v>
      </c>
      <c r="E21" s="135">
        <f>2563023685/(10^9)</f>
        <v>2.5630236850000001</v>
      </c>
      <c r="F21" s="135">
        <f>955185629/(10^9)</f>
        <v>0.95518562900000004</v>
      </c>
      <c r="G21" s="135">
        <f>246618000/(10^9)</f>
        <v>0.246618</v>
      </c>
      <c r="H21" s="135">
        <f t="shared" ref="H21:K23" si="8">0/(10^9)</f>
        <v>0</v>
      </c>
      <c r="I21" s="135">
        <f t="shared" si="8"/>
        <v>0</v>
      </c>
      <c r="J21" s="135">
        <f t="shared" si="8"/>
        <v>0</v>
      </c>
      <c r="K21" s="135">
        <f t="shared" si="8"/>
        <v>0</v>
      </c>
      <c r="L21" s="135">
        <f t="shared" si="7"/>
        <v>0</v>
      </c>
      <c r="M21" s="135">
        <f t="shared" si="7"/>
        <v>0</v>
      </c>
      <c r="N21" s="135">
        <f t="shared" si="7"/>
        <v>0</v>
      </c>
      <c r="O21" s="135">
        <f t="shared" si="7"/>
        <v>0</v>
      </c>
      <c r="P21" s="135">
        <f t="shared" si="7"/>
        <v>0</v>
      </c>
      <c r="Q21" s="135">
        <f>136926268100/(10^9)</f>
        <v>136.92626809999999</v>
      </c>
      <c r="R21" s="135">
        <f>275657471967/(10^9)</f>
        <v>275.65747196699999</v>
      </c>
      <c r="S21" s="134"/>
      <c r="AA21" s="69">
        <f t="shared" si="3"/>
        <v>419.33107112599998</v>
      </c>
      <c r="AB21" s="69">
        <f t="shared" si="1"/>
        <v>0</v>
      </c>
    </row>
    <row r="22" spans="1:28" ht="24" customHeight="1" x14ac:dyDescent="0.2">
      <c r="A22" s="137">
        <v>10</v>
      </c>
      <c r="B22" s="136" t="s">
        <v>40</v>
      </c>
      <c r="C22" s="126">
        <f t="shared" si="5"/>
        <v>0.17688141300019999</v>
      </c>
      <c r="D22" s="135">
        <f>141637831/(10^9)</f>
        <v>0.14163783099999999</v>
      </c>
      <c r="E22" s="135">
        <f t="shared" ref="E22:G23" si="9">0/(10^9)</f>
        <v>0</v>
      </c>
      <c r="F22" s="135">
        <f t="shared" si="9"/>
        <v>0</v>
      </c>
      <c r="G22" s="135">
        <f t="shared" si="9"/>
        <v>0</v>
      </c>
      <c r="H22" s="135">
        <f t="shared" si="8"/>
        <v>0</v>
      </c>
      <c r="I22" s="135">
        <f t="shared" si="8"/>
        <v>0</v>
      </c>
      <c r="J22" s="135">
        <f t="shared" si="8"/>
        <v>0</v>
      </c>
      <c r="K22" s="135">
        <f t="shared" si="8"/>
        <v>0</v>
      </c>
      <c r="L22" s="135">
        <f t="shared" si="7"/>
        <v>0</v>
      </c>
      <c r="M22" s="135">
        <f t="shared" si="7"/>
        <v>0</v>
      </c>
      <c r="N22" s="135">
        <f t="shared" si="7"/>
        <v>0</v>
      </c>
      <c r="O22" s="135">
        <f t="shared" si="7"/>
        <v>0</v>
      </c>
      <c r="P22" s="135">
        <f t="shared" si="7"/>
        <v>0</v>
      </c>
      <c r="Q22" s="135">
        <f>35243582.0002/(10^9)</f>
        <v>3.5243582000200002E-2</v>
      </c>
      <c r="R22" s="135">
        <f>0/(10^9)</f>
        <v>0</v>
      </c>
      <c r="S22" s="134"/>
      <c r="AA22" s="69">
        <f t="shared" si="3"/>
        <v>0.17688141300019999</v>
      </c>
      <c r="AB22" s="69">
        <f t="shared" si="1"/>
        <v>0</v>
      </c>
    </row>
    <row r="23" spans="1:28" ht="24" customHeight="1" x14ac:dyDescent="0.2">
      <c r="A23" s="137">
        <v>11</v>
      </c>
      <c r="B23" s="136" t="s">
        <v>41</v>
      </c>
      <c r="C23" s="126">
        <f t="shared" si="5"/>
        <v>1.8580126769999998</v>
      </c>
      <c r="D23" s="135">
        <f>1292628054/(10^9)</f>
        <v>1.2926280539999999</v>
      </c>
      <c r="E23" s="135">
        <f t="shared" si="9"/>
        <v>0</v>
      </c>
      <c r="F23" s="135">
        <f t="shared" si="9"/>
        <v>0</v>
      </c>
      <c r="G23" s="135">
        <f t="shared" si="9"/>
        <v>0</v>
      </c>
      <c r="H23" s="135">
        <f t="shared" si="8"/>
        <v>0</v>
      </c>
      <c r="I23" s="135">
        <f t="shared" si="8"/>
        <v>0</v>
      </c>
      <c r="J23" s="135">
        <f t="shared" si="8"/>
        <v>0</v>
      </c>
      <c r="K23" s="135">
        <f t="shared" si="8"/>
        <v>0</v>
      </c>
      <c r="L23" s="135">
        <f t="shared" ref="L23:O24" si="10">0/(10^9)</f>
        <v>0</v>
      </c>
      <c r="M23" s="135">
        <f t="shared" si="10"/>
        <v>0</v>
      </c>
      <c r="N23" s="135">
        <f t="shared" si="10"/>
        <v>0</v>
      </c>
      <c r="O23" s="135">
        <f t="shared" si="10"/>
        <v>0</v>
      </c>
      <c r="P23" s="135">
        <f>464384623/(10^9)</f>
        <v>0.464384623</v>
      </c>
      <c r="Q23" s="135">
        <f>0/(10^9)</f>
        <v>0</v>
      </c>
      <c r="R23" s="135">
        <f>101000000/(10^9)</f>
        <v>0.10100000000000001</v>
      </c>
      <c r="S23" s="134"/>
      <c r="AA23" s="69">
        <f t="shared" si="3"/>
        <v>1.8580126769999998</v>
      </c>
      <c r="AB23" s="69">
        <f t="shared" si="1"/>
        <v>0</v>
      </c>
    </row>
    <row r="24" spans="1:28" ht="24" customHeight="1" x14ac:dyDescent="0.2">
      <c r="A24" s="137">
        <v>12</v>
      </c>
      <c r="B24" s="136" t="s">
        <v>42</v>
      </c>
      <c r="C24" s="126">
        <f t="shared" si="5"/>
        <v>224.13216944209586</v>
      </c>
      <c r="D24" s="135">
        <f>96425404939.5279/(10^9)</f>
        <v>96.425404939527894</v>
      </c>
      <c r="E24" s="135">
        <f>0/(10^9)</f>
        <v>0</v>
      </c>
      <c r="F24" s="135">
        <f>0/(10^9)</f>
        <v>0</v>
      </c>
      <c r="G24" s="135">
        <f>13465749619/(10^9)</f>
        <v>13.465749619</v>
      </c>
      <c r="H24" s="135">
        <f>869346482/(10^9)</f>
        <v>0.86934648199999998</v>
      </c>
      <c r="I24" s="135">
        <f>0/(10^9)</f>
        <v>0</v>
      </c>
      <c r="J24" s="135">
        <f>0/(10^9)</f>
        <v>0</v>
      </c>
      <c r="K24" s="135">
        <f>0/(10^9)</f>
        <v>0</v>
      </c>
      <c r="L24" s="135">
        <f t="shared" si="10"/>
        <v>0</v>
      </c>
      <c r="M24" s="135">
        <f t="shared" si="10"/>
        <v>0</v>
      </c>
      <c r="N24" s="135">
        <f t="shared" si="10"/>
        <v>0</v>
      </c>
      <c r="O24" s="135">
        <f t="shared" si="10"/>
        <v>0</v>
      </c>
      <c r="P24" s="135">
        <f>0/(10^9)</f>
        <v>0</v>
      </c>
      <c r="Q24" s="135">
        <f>0/(10^9)</f>
        <v>0</v>
      </c>
      <c r="R24" s="135">
        <f>(113371220947.568+447454)/(10^9)</f>
        <v>113.37166840156799</v>
      </c>
      <c r="S24" s="134"/>
      <c r="AA24" s="69">
        <f t="shared" si="3"/>
        <v>224.13216944209586</v>
      </c>
      <c r="AB24" s="69">
        <f t="shared" si="1"/>
        <v>0</v>
      </c>
    </row>
    <row r="25" spans="1:28" ht="24" customHeight="1" x14ac:dyDescent="0.2">
      <c r="A25" s="137">
        <v>13</v>
      </c>
      <c r="B25" s="136" t="s">
        <v>43</v>
      </c>
      <c r="C25" s="126">
        <f t="shared" si="5"/>
        <v>427.1893943</v>
      </c>
      <c r="D25" s="135">
        <f>(104850.713196*(10^6))/(10^9)</f>
        <v>104.850713196</v>
      </c>
      <c r="E25" s="135">
        <f>(0*(10^6))/(10^9)</f>
        <v>0</v>
      </c>
      <c r="F25" s="135">
        <f>(0*(10^6))/(10^9)</f>
        <v>0</v>
      </c>
      <c r="G25" s="135">
        <f>(180803.746358*(10^6))/(10^9)</f>
        <v>180.80374635800001</v>
      </c>
      <c r="H25" s="135">
        <f>(3762.058118*(10^6))/(10^9)</f>
        <v>3.7620581180000001</v>
      </c>
      <c r="I25" s="135">
        <f>(0*(10^6))/(10^9)</f>
        <v>0</v>
      </c>
      <c r="J25" s="135">
        <f>(0*(10^6))/(10^9)</f>
        <v>0</v>
      </c>
      <c r="K25" s="135">
        <f>(0*(10^6))/(10^9)</f>
        <v>0</v>
      </c>
      <c r="L25" s="135">
        <f>(0*(10^6))/(10^9)</f>
        <v>0</v>
      </c>
      <c r="M25" s="135">
        <f>(27.043*(10^6))/(10^9)</f>
        <v>2.7043000000000001E-2</v>
      </c>
      <c r="N25" s="135">
        <f>(27005.271582*(10^6))/(10^9)</f>
        <v>27.005271581999999</v>
      </c>
      <c r="O25" s="135">
        <f>(0*(10^6))/(10^9)</f>
        <v>0</v>
      </c>
      <c r="P25" s="135">
        <f>(0*(10^6))/(10^9)</f>
        <v>0</v>
      </c>
      <c r="Q25" s="135">
        <f>(0*(10^6))/(10^9)</f>
        <v>0</v>
      </c>
      <c r="R25" s="135">
        <f>(110740.562046*(10^6))/(10^9)</f>
        <v>110.74056204599999</v>
      </c>
      <c r="S25" s="134"/>
      <c r="AA25" s="69">
        <f t="shared" si="3"/>
        <v>427.1893943</v>
      </c>
      <c r="AB25" s="69">
        <f t="shared" si="1"/>
        <v>0</v>
      </c>
    </row>
    <row r="26" spans="1:28" ht="24" customHeight="1" x14ac:dyDescent="0.2">
      <c r="A26" s="137">
        <v>14</v>
      </c>
      <c r="B26" s="136" t="s">
        <v>44</v>
      </c>
      <c r="C26" s="126">
        <f t="shared" si="5"/>
        <v>32.030292398930001</v>
      </c>
      <c r="D26" s="135">
        <f>10774423948.93/(10^9)</f>
        <v>10.77442394893</v>
      </c>
      <c r="E26" s="135">
        <f>0/(10^9)</f>
        <v>0</v>
      </c>
      <c r="F26" s="135">
        <f>0/(10^9)</f>
        <v>0</v>
      </c>
      <c r="G26" s="135">
        <f>0/(10^9)</f>
        <v>0</v>
      </c>
      <c r="H26" s="135">
        <f>21126250000/(10^9)</f>
        <v>21.126249999999999</v>
      </c>
      <c r="I26" s="135">
        <f t="shared" ref="I26:Q26" si="11">0/(10^9)</f>
        <v>0</v>
      </c>
      <c r="J26" s="135">
        <f t="shared" si="11"/>
        <v>0</v>
      </c>
      <c r="K26" s="135">
        <f t="shared" si="11"/>
        <v>0</v>
      </c>
      <c r="L26" s="135">
        <f t="shared" si="11"/>
        <v>0</v>
      </c>
      <c r="M26" s="135">
        <f t="shared" si="11"/>
        <v>0</v>
      </c>
      <c r="N26" s="135">
        <f t="shared" si="11"/>
        <v>0</v>
      </c>
      <c r="O26" s="135">
        <f t="shared" si="11"/>
        <v>0</v>
      </c>
      <c r="P26" s="135">
        <f t="shared" si="11"/>
        <v>0</v>
      </c>
      <c r="Q26" s="135">
        <f t="shared" si="11"/>
        <v>0</v>
      </c>
      <c r="R26" s="135">
        <f>129618450/(10^9)</f>
        <v>0.12961845</v>
      </c>
      <c r="S26" s="134"/>
      <c r="AA26" s="69">
        <f t="shared" si="3"/>
        <v>32.030292398930001</v>
      </c>
      <c r="AB26" s="69">
        <f t="shared" si="1"/>
        <v>0</v>
      </c>
    </row>
    <row r="27" spans="1:28" ht="24" customHeight="1" x14ac:dyDescent="0.2">
      <c r="A27" s="137">
        <v>15</v>
      </c>
      <c r="B27" s="136" t="s">
        <v>45</v>
      </c>
      <c r="C27" s="126">
        <f t="shared" si="5"/>
        <v>881.26094776900004</v>
      </c>
      <c r="D27" s="135">
        <f>725660876400/(10^9)</f>
        <v>725.66087640000001</v>
      </c>
      <c r="E27" s="135">
        <f>1656395785/(10^9)</f>
        <v>1.656395785</v>
      </c>
      <c r="F27" s="135">
        <f t="shared" ref="F27:G30" si="12">0/(10^9)</f>
        <v>0</v>
      </c>
      <c r="G27" s="135">
        <f t="shared" si="12"/>
        <v>0</v>
      </c>
      <c r="H27" s="135">
        <f>17254667000/(10^9)</f>
        <v>17.254667000000001</v>
      </c>
      <c r="I27" s="135">
        <f t="shared" ref="I27:J34" si="13">0/(10^9)</f>
        <v>0</v>
      </c>
      <c r="J27" s="135">
        <f t="shared" si="13"/>
        <v>0</v>
      </c>
      <c r="K27" s="135">
        <f>4360544032/(10^9)</f>
        <v>4.360544032</v>
      </c>
      <c r="L27" s="135">
        <f t="shared" ref="L27:L35" si="14">0/(10^9)</f>
        <v>0</v>
      </c>
      <c r="M27" s="135">
        <f>1920492125/(10^9)</f>
        <v>1.920492125</v>
      </c>
      <c r="N27" s="135">
        <f t="shared" ref="N27:Q33" si="15">0/(10^9)</f>
        <v>0</v>
      </c>
      <c r="O27" s="135">
        <f t="shared" si="15"/>
        <v>0</v>
      </c>
      <c r="P27" s="135">
        <f t="shared" si="15"/>
        <v>0</v>
      </c>
      <c r="Q27" s="135">
        <f t="shared" si="15"/>
        <v>0</v>
      </c>
      <c r="R27" s="135">
        <f>130407972427/(10^9)</f>
        <v>130.407972427</v>
      </c>
      <c r="S27" s="134"/>
      <c r="AA27" s="69">
        <f t="shared" si="3"/>
        <v>881.26094776900004</v>
      </c>
      <c r="AB27" s="69">
        <f t="shared" si="1"/>
        <v>0</v>
      </c>
    </row>
    <row r="28" spans="1:28" ht="24" customHeight="1" x14ac:dyDescent="0.2">
      <c r="A28" s="137">
        <v>16</v>
      </c>
      <c r="B28" s="136" t="s">
        <v>46</v>
      </c>
      <c r="C28" s="126">
        <f t="shared" si="5"/>
        <v>9.4222959280000005</v>
      </c>
      <c r="D28" s="135">
        <f>9422295928/(10^9)</f>
        <v>9.4222959280000005</v>
      </c>
      <c r="E28" s="135">
        <f t="shared" ref="E28:E34" si="16">0/(10^9)</f>
        <v>0</v>
      </c>
      <c r="F28" s="135">
        <f t="shared" si="12"/>
        <v>0</v>
      </c>
      <c r="G28" s="135">
        <f t="shared" si="12"/>
        <v>0</v>
      </c>
      <c r="H28" s="135">
        <f>0/(10^9)</f>
        <v>0</v>
      </c>
      <c r="I28" s="135">
        <f t="shared" si="13"/>
        <v>0</v>
      </c>
      <c r="J28" s="135">
        <f t="shared" si="13"/>
        <v>0</v>
      </c>
      <c r="K28" s="135">
        <f>0/(10^9)</f>
        <v>0</v>
      </c>
      <c r="L28" s="135">
        <f t="shared" si="14"/>
        <v>0</v>
      </c>
      <c r="M28" s="135">
        <f t="shared" ref="M28:M34" si="17">0/(10^9)</f>
        <v>0</v>
      </c>
      <c r="N28" s="135">
        <f t="shared" si="15"/>
        <v>0</v>
      </c>
      <c r="O28" s="135">
        <f t="shared" si="15"/>
        <v>0</v>
      </c>
      <c r="P28" s="135">
        <f t="shared" si="15"/>
        <v>0</v>
      </c>
      <c r="Q28" s="135">
        <f t="shared" si="15"/>
        <v>0</v>
      </c>
      <c r="R28" s="135">
        <f>0/(10^9)</f>
        <v>0</v>
      </c>
      <c r="S28" s="134"/>
      <c r="AA28" s="69">
        <f t="shared" si="3"/>
        <v>9.4222959280000005</v>
      </c>
      <c r="AB28" s="69">
        <f t="shared" si="1"/>
        <v>0</v>
      </c>
    </row>
    <row r="29" spans="1:28" ht="24" customHeight="1" x14ac:dyDescent="0.2">
      <c r="A29" s="137">
        <v>17</v>
      </c>
      <c r="B29" s="136" t="s">
        <v>47</v>
      </c>
      <c r="C29" s="126">
        <f t="shared" si="5"/>
        <v>147.00296637280002</v>
      </c>
      <c r="D29" s="135">
        <f>12587383131.4/(10^9)</f>
        <v>12.587383131399999</v>
      </c>
      <c r="E29" s="135">
        <f t="shared" si="16"/>
        <v>0</v>
      </c>
      <c r="F29" s="135">
        <f t="shared" si="12"/>
        <v>0</v>
      </c>
      <c r="G29" s="135">
        <f t="shared" si="12"/>
        <v>0</v>
      </c>
      <c r="H29" s="135">
        <f>0/(10^9)</f>
        <v>0</v>
      </c>
      <c r="I29" s="135">
        <f t="shared" si="13"/>
        <v>0</v>
      </c>
      <c r="J29" s="135">
        <f t="shared" si="13"/>
        <v>0</v>
      </c>
      <c r="K29" s="135">
        <f>91326676000/(10^9)</f>
        <v>91.326676000000006</v>
      </c>
      <c r="L29" s="135">
        <f t="shared" si="14"/>
        <v>0</v>
      </c>
      <c r="M29" s="135">
        <f t="shared" si="17"/>
        <v>0</v>
      </c>
      <c r="N29" s="135">
        <f t="shared" si="15"/>
        <v>0</v>
      </c>
      <c r="O29" s="135">
        <f t="shared" si="15"/>
        <v>0</v>
      </c>
      <c r="P29" s="135">
        <f t="shared" si="15"/>
        <v>0</v>
      </c>
      <c r="Q29" s="135">
        <f t="shared" si="15"/>
        <v>0</v>
      </c>
      <c r="R29" s="135">
        <f>43088907241.4/(10^9)</f>
        <v>43.088907241400001</v>
      </c>
      <c r="S29" s="134"/>
      <c r="AA29" s="69">
        <f t="shared" si="3"/>
        <v>147.00296637280002</v>
      </c>
      <c r="AB29" s="69">
        <f t="shared" si="1"/>
        <v>0</v>
      </c>
    </row>
    <row r="30" spans="1:28" ht="24" customHeight="1" x14ac:dyDescent="0.2">
      <c r="A30" s="137">
        <v>18</v>
      </c>
      <c r="B30" s="136" t="s">
        <v>48</v>
      </c>
      <c r="C30" s="126">
        <f t="shared" si="5"/>
        <v>32.483351584000005</v>
      </c>
      <c r="D30" s="135">
        <f>8967000000/(10^9)</f>
        <v>8.9670000000000005</v>
      </c>
      <c r="E30" s="135">
        <f t="shared" si="16"/>
        <v>0</v>
      </c>
      <c r="F30" s="135">
        <f t="shared" si="12"/>
        <v>0</v>
      </c>
      <c r="G30" s="135">
        <f t="shared" si="12"/>
        <v>0</v>
      </c>
      <c r="H30" s="135">
        <f>13000000/(10^9)</f>
        <v>1.2999999999999999E-2</v>
      </c>
      <c r="I30" s="135">
        <f t="shared" si="13"/>
        <v>0</v>
      </c>
      <c r="J30" s="135">
        <f t="shared" si="13"/>
        <v>0</v>
      </c>
      <c r="K30" s="135">
        <f>0/(10^9)</f>
        <v>0</v>
      </c>
      <c r="L30" s="135">
        <f t="shared" si="14"/>
        <v>0</v>
      </c>
      <c r="M30" s="135">
        <f t="shared" si="17"/>
        <v>0</v>
      </c>
      <c r="N30" s="135">
        <f t="shared" si="15"/>
        <v>0</v>
      </c>
      <c r="O30" s="135">
        <f t="shared" si="15"/>
        <v>0</v>
      </c>
      <c r="P30" s="135">
        <f t="shared" si="15"/>
        <v>0</v>
      </c>
      <c r="Q30" s="135">
        <f t="shared" si="15"/>
        <v>0</v>
      </c>
      <c r="R30" s="135">
        <f>(23504000000-648416)/(10^9)</f>
        <v>23.503351584000001</v>
      </c>
      <c r="S30" s="134"/>
      <c r="AA30" s="69">
        <f t="shared" si="3"/>
        <v>32.483351584000005</v>
      </c>
      <c r="AB30" s="69">
        <f t="shared" si="1"/>
        <v>0</v>
      </c>
    </row>
    <row r="31" spans="1:28" ht="24" customHeight="1" x14ac:dyDescent="0.2">
      <c r="A31" s="137">
        <v>19</v>
      </c>
      <c r="B31" s="136" t="s">
        <v>49</v>
      </c>
      <c r="C31" s="126">
        <f t="shared" si="5"/>
        <v>130.79503246100001</v>
      </c>
      <c r="D31" s="135">
        <f>129230779461/(10^9)</f>
        <v>129.230779461</v>
      </c>
      <c r="E31" s="135">
        <f t="shared" si="16"/>
        <v>0</v>
      </c>
      <c r="F31" s="135">
        <f>0/(10^9)</f>
        <v>0</v>
      </c>
      <c r="G31" s="135">
        <f>1509253000/(10^9)</f>
        <v>1.509253</v>
      </c>
      <c r="H31" s="135">
        <f>55000000/(10^9)</f>
        <v>5.5E-2</v>
      </c>
      <c r="I31" s="135">
        <f t="shared" si="13"/>
        <v>0</v>
      </c>
      <c r="J31" s="135">
        <f t="shared" si="13"/>
        <v>0</v>
      </c>
      <c r="K31" s="135">
        <f>0/(10^9)</f>
        <v>0</v>
      </c>
      <c r="L31" s="135">
        <f t="shared" si="14"/>
        <v>0</v>
      </c>
      <c r="M31" s="135">
        <f t="shared" si="17"/>
        <v>0</v>
      </c>
      <c r="N31" s="135">
        <f t="shared" si="15"/>
        <v>0</v>
      </c>
      <c r="O31" s="135">
        <f t="shared" si="15"/>
        <v>0</v>
      </c>
      <c r="P31" s="135">
        <f t="shared" si="15"/>
        <v>0</v>
      </c>
      <c r="Q31" s="135">
        <f t="shared" si="15"/>
        <v>0</v>
      </c>
      <c r="R31" s="135">
        <f>0/(10^9)</f>
        <v>0</v>
      </c>
      <c r="S31" s="134">
        <v>0</v>
      </c>
      <c r="AA31" s="69">
        <f t="shared" si="3"/>
        <v>130.79503246100001</v>
      </c>
      <c r="AB31" s="69">
        <f t="shared" si="1"/>
        <v>0</v>
      </c>
    </row>
    <row r="32" spans="1:28" ht="24" customHeight="1" x14ac:dyDescent="0.2">
      <c r="A32" s="137">
        <v>20</v>
      </c>
      <c r="B32" s="136" t="s">
        <v>50</v>
      </c>
      <c r="C32" s="126">
        <f t="shared" si="5"/>
        <v>61.76124669</v>
      </c>
      <c r="D32" s="135">
        <f>56064813135/(10^9)</f>
        <v>56.064813135000001</v>
      </c>
      <c r="E32" s="135">
        <f t="shared" si="16"/>
        <v>0</v>
      </c>
      <c r="F32" s="135">
        <f>0/(10^9)</f>
        <v>0</v>
      </c>
      <c r="G32" s="135">
        <f>4718488645/(10^9)</f>
        <v>4.7184886449999999</v>
      </c>
      <c r="H32" s="135">
        <f>977944910/(10^9)</f>
        <v>0.97794490999999995</v>
      </c>
      <c r="I32" s="135">
        <f t="shared" si="13"/>
        <v>0</v>
      </c>
      <c r="J32" s="135">
        <f t="shared" si="13"/>
        <v>0</v>
      </c>
      <c r="K32" s="135">
        <f>0/(10^9)</f>
        <v>0</v>
      </c>
      <c r="L32" s="135">
        <f t="shared" si="14"/>
        <v>0</v>
      </c>
      <c r="M32" s="135">
        <f t="shared" si="17"/>
        <v>0</v>
      </c>
      <c r="N32" s="135">
        <f t="shared" si="15"/>
        <v>0</v>
      </c>
      <c r="O32" s="135">
        <f t="shared" si="15"/>
        <v>0</v>
      </c>
      <c r="P32" s="135">
        <f t="shared" si="15"/>
        <v>0</v>
      </c>
      <c r="Q32" s="135">
        <f t="shared" si="15"/>
        <v>0</v>
      </c>
      <c r="R32" s="135">
        <f>0/(10^9)</f>
        <v>0</v>
      </c>
      <c r="S32" s="134">
        <v>0</v>
      </c>
      <c r="AA32" s="69">
        <f t="shared" si="3"/>
        <v>61.76124669</v>
      </c>
      <c r="AB32" s="69">
        <f t="shared" si="1"/>
        <v>0</v>
      </c>
    </row>
    <row r="33" spans="1:28" ht="24" customHeight="1" x14ac:dyDescent="0.2">
      <c r="A33" s="137">
        <v>21</v>
      </c>
      <c r="B33" s="136" t="s">
        <v>51</v>
      </c>
      <c r="C33" s="126">
        <f t="shared" si="5"/>
        <v>287.75182352999997</v>
      </c>
      <c r="D33" s="135">
        <f>58699640786/(10^9)</f>
        <v>58.699640786000003</v>
      </c>
      <c r="E33" s="135">
        <f t="shared" si="16"/>
        <v>0</v>
      </c>
      <c r="F33" s="135">
        <f>49500000/(10^9)</f>
        <v>4.9500000000000002E-2</v>
      </c>
      <c r="G33" s="135">
        <f>179016210587/(10^9)</f>
        <v>179.01621058699999</v>
      </c>
      <c r="H33" s="135">
        <f>189356420/(10^9)</f>
        <v>0.18935642</v>
      </c>
      <c r="I33" s="135">
        <f t="shared" si="13"/>
        <v>0</v>
      </c>
      <c r="J33" s="135">
        <f t="shared" si="13"/>
        <v>0</v>
      </c>
      <c r="K33" s="135">
        <f>49797115737/(10^9)</f>
        <v>49.797115736999999</v>
      </c>
      <c r="L33" s="135">
        <f t="shared" si="14"/>
        <v>0</v>
      </c>
      <c r="M33" s="135">
        <f t="shared" si="17"/>
        <v>0</v>
      </c>
      <c r="N33" s="135">
        <f t="shared" si="15"/>
        <v>0</v>
      </c>
      <c r="O33" s="135">
        <f t="shared" si="15"/>
        <v>0</v>
      </c>
      <c r="P33" s="135">
        <f t="shared" si="15"/>
        <v>0</v>
      </c>
      <c r="Q33" s="135">
        <f t="shared" si="15"/>
        <v>0</v>
      </c>
      <c r="R33" s="135">
        <f>0/(10^9)</f>
        <v>0</v>
      </c>
      <c r="S33" s="134"/>
      <c r="AA33" s="69">
        <f t="shared" si="3"/>
        <v>287.75182352999997</v>
      </c>
      <c r="AB33" s="69">
        <f t="shared" si="1"/>
        <v>0</v>
      </c>
    </row>
    <row r="34" spans="1:28" ht="24" customHeight="1" x14ac:dyDescent="0.2">
      <c r="A34" s="137">
        <v>22</v>
      </c>
      <c r="B34" s="136" t="s">
        <v>52</v>
      </c>
      <c r="C34" s="126">
        <f t="shared" si="5"/>
        <v>176.925488325</v>
      </c>
      <c r="D34" s="135">
        <f>41832865018/(10^9)</f>
        <v>41.832865018</v>
      </c>
      <c r="E34" s="135">
        <f t="shared" si="16"/>
        <v>0</v>
      </c>
      <c r="F34" s="135">
        <f>0/(10^9)</f>
        <v>0</v>
      </c>
      <c r="G34" s="135">
        <f>0/(10^9)</f>
        <v>0</v>
      </c>
      <c r="H34" s="135">
        <f>0/(10^9)</f>
        <v>0</v>
      </c>
      <c r="I34" s="135">
        <f t="shared" si="13"/>
        <v>0</v>
      </c>
      <c r="J34" s="135">
        <f t="shared" si="13"/>
        <v>0</v>
      </c>
      <c r="K34" s="135">
        <f>0/(10^9)</f>
        <v>0</v>
      </c>
      <c r="L34" s="135">
        <f t="shared" si="14"/>
        <v>0</v>
      </c>
      <c r="M34" s="135">
        <f t="shared" si="17"/>
        <v>0</v>
      </c>
      <c r="N34" s="135">
        <f>0/(10^9)</f>
        <v>0</v>
      </c>
      <c r="O34" s="135">
        <f>0/(10^9)</f>
        <v>0</v>
      </c>
      <c r="P34" s="135">
        <f>0/(10^9)</f>
        <v>0</v>
      </c>
      <c r="Q34" s="135">
        <f>135092623307/(10^9)</f>
        <v>135.092623307</v>
      </c>
      <c r="R34" s="135">
        <f>0/(10^9)</f>
        <v>0</v>
      </c>
      <c r="S34" s="134"/>
      <c r="AA34" s="69">
        <f t="shared" si="3"/>
        <v>176.925488325</v>
      </c>
      <c r="AB34" s="69">
        <f t="shared" si="1"/>
        <v>0</v>
      </c>
    </row>
    <row r="35" spans="1:28" ht="24" customHeight="1" x14ac:dyDescent="0.2">
      <c r="A35" s="137">
        <v>23</v>
      </c>
      <c r="B35" s="136" t="s">
        <v>53</v>
      </c>
      <c r="C35" s="126">
        <f t="shared" si="5"/>
        <v>464.34610146865049</v>
      </c>
      <c r="D35" s="135">
        <f>320825426799.663/(10^9)</f>
        <v>320.82542679966303</v>
      </c>
      <c r="E35" s="135">
        <f>4183434736/(10^9)</f>
        <v>4.1834347359999997</v>
      </c>
      <c r="F35" s="135">
        <f>0/(10^9)</f>
        <v>0</v>
      </c>
      <c r="G35" s="135">
        <f>22794611791.4656/(10^9)</f>
        <v>22.794611791465599</v>
      </c>
      <c r="H35" s="135">
        <f>19855571998/(10^9)</f>
        <v>19.855571997999999</v>
      </c>
      <c r="I35" s="135">
        <f>0/(10^9)</f>
        <v>0</v>
      </c>
      <c r="J35" s="135">
        <f>1290811462.6/(10^9)</f>
        <v>1.2908114626</v>
      </c>
      <c r="K35" s="135">
        <f>5990000000/(10^9)</f>
        <v>5.99</v>
      </c>
      <c r="L35" s="135">
        <f t="shared" si="14"/>
        <v>0</v>
      </c>
      <c r="M35" s="135">
        <f>407081266/(10^9)</f>
        <v>0.407081266</v>
      </c>
      <c r="N35" s="135">
        <f>2797646999.9219/(10^9)</f>
        <v>2.7976469999218998</v>
      </c>
      <c r="O35" s="135">
        <f>0/(10^9)</f>
        <v>0</v>
      </c>
      <c r="P35" s="135">
        <f>0/(10^9)</f>
        <v>0</v>
      </c>
      <c r="Q35" s="135">
        <f>0/(10^9)</f>
        <v>0</v>
      </c>
      <c r="R35" s="135">
        <f>86201516415/(10^9)</f>
        <v>86.201516415</v>
      </c>
      <c r="S35" s="134"/>
      <c r="AA35" s="69">
        <f t="shared" si="3"/>
        <v>464.34610146865049</v>
      </c>
      <c r="AB35" s="69">
        <f t="shared" si="1"/>
        <v>0</v>
      </c>
    </row>
    <row r="37" spans="1:28" x14ac:dyDescent="0.2">
      <c r="C37" s="85"/>
    </row>
    <row r="38" spans="1:28" x14ac:dyDescent="0.2">
      <c r="C38" s="85"/>
    </row>
    <row r="39" spans="1:28" x14ac:dyDescent="0.2">
      <c r="C39" s="85"/>
    </row>
  </sheetData>
  <mergeCells count="13">
    <mergeCell ref="S7:S8"/>
    <mergeCell ref="J1:S1"/>
    <mergeCell ref="A2:S2"/>
    <mergeCell ref="A3:S3"/>
    <mergeCell ref="A7:A8"/>
    <mergeCell ref="B7:B8"/>
    <mergeCell ref="C7:C8"/>
    <mergeCell ref="D7:H7"/>
    <mergeCell ref="I7:J7"/>
    <mergeCell ref="K7:O7"/>
    <mergeCell ref="P7:R7"/>
    <mergeCell ref="B1:C1"/>
    <mergeCell ref="R5:S5"/>
  </mergeCells>
  <pageMargins left="0.27559055118110237" right="0.15748031496062992" top="0.29137731481481483" bottom="0.74803149606299213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69B9-5F3B-4212-A98A-9D09AD193F35}">
  <sheetPr>
    <tabColor rgb="FFFFFF00"/>
    <pageSetUpPr fitToPage="1"/>
  </sheetPr>
  <dimension ref="A1:AB41"/>
  <sheetViews>
    <sheetView zoomScale="90" zoomScaleNormal="85" zoomScalePageLayoutView="70" workbookViewId="0">
      <selection activeCell="D14" sqref="D14"/>
    </sheetView>
  </sheetViews>
  <sheetFormatPr defaultColWidth="9" defaultRowHeight="12" x14ac:dyDescent="0.2"/>
  <cols>
    <col min="1" max="1" width="6.5703125" style="9" customWidth="1"/>
    <col min="2" max="2" width="26.85546875" style="10" customWidth="1"/>
    <col min="3" max="3" width="18.140625" style="81" customWidth="1"/>
    <col min="4" max="4" width="17.42578125" style="2" bestFit="1" customWidth="1"/>
    <col min="5" max="5" width="16.42578125" style="2" bestFit="1" customWidth="1"/>
    <col min="6" max="7" width="16.85546875" style="2" bestFit="1" customWidth="1"/>
    <col min="8" max="8" width="15.42578125" style="2" bestFit="1" customWidth="1"/>
    <col min="9" max="9" width="10" style="2" bestFit="1" customWidth="1"/>
    <col min="10" max="10" width="14" style="2" bestFit="1" customWidth="1"/>
    <col min="11" max="11" width="16.85546875" style="2" bestFit="1" customWidth="1"/>
    <col min="12" max="12" width="15" style="2" bestFit="1" customWidth="1"/>
    <col min="13" max="13" width="16.42578125" style="2" bestFit="1" customWidth="1"/>
    <col min="14" max="14" width="15.42578125" style="2" bestFit="1" customWidth="1"/>
    <col min="15" max="15" width="16.42578125" style="2" bestFit="1" customWidth="1"/>
    <col min="16" max="16" width="14" style="2" bestFit="1" customWidth="1"/>
    <col min="17" max="17" width="15.42578125" style="2" bestFit="1" customWidth="1"/>
    <col min="18" max="18" width="16.85546875" style="2" bestFit="1" customWidth="1"/>
    <col min="19" max="19" width="5.85546875" style="2" customWidth="1"/>
    <col min="20" max="20" width="14.42578125" style="2" hidden="1" customWidth="1"/>
    <col min="21" max="21" width="5" style="2" hidden="1" customWidth="1"/>
    <col min="22" max="26" width="0" style="2" hidden="1" customWidth="1"/>
    <col min="27" max="27" width="18.140625" style="2" hidden="1" customWidth="1"/>
    <col min="28" max="28" width="13.28515625" style="2" hidden="1" customWidth="1"/>
    <col min="29" max="256" width="9" style="2"/>
    <col min="257" max="257" width="5" style="2" bestFit="1" customWidth="1"/>
    <col min="258" max="258" width="22.85546875" style="2" customWidth="1"/>
    <col min="259" max="259" width="15.42578125" style="2" customWidth="1"/>
    <col min="260" max="260" width="14.5703125" style="2" customWidth="1"/>
    <col min="261" max="261" width="11.28515625" style="2" customWidth="1"/>
    <col min="262" max="262" width="5.85546875" style="2" customWidth="1"/>
    <col min="263" max="263" width="11.85546875" style="2" bestFit="1" customWidth="1"/>
    <col min="264" max="264" width="10.42578125" style="2" customWidth="1"/>
    <col min="265" max="265" width="5.5703125" style="2" customWidth="1"/>
    <col min="266" max="266" width="7.5703125" style="2" customWidth="1"/>
    <col min="267" max="267" width="13.140625" style="2" bestFit="1" customWidth="1"/>
    <col min="268" max="269" width="7" style="2" customWidth="1"/>
    <col min="270" max="270" width="11.140625" style="2" customWidth="1"/>
    <col min="271" max="271" width="12.5703125" style="2" bestFit="1" customWidth="1"/>
    <col min="272" max="272" width="10.42578125" style="2" customWidth="1"/>
    <col min="273" max="273" width="7.42578125" style="2" customWidth="1"/>
    <col min="274" max="274" width="15.85546875" style="2" bestFit="1" customWidth="1"/>
    <col min="275" max="275" width="5.85546875" style="2" customWidth="1"/>
    <col min="276" max="282" width="0" style="2" hidden="1" customWidth="1"/>
    <col min="283" max="512" width="9" style="2"/>
    <col min="513" max="513" width="5" style="2" bestFit="1" customWidth="1"/>
    <col min="514" max="514" width="22.85546875" style="2" customWidth="1"/>
    <col min="515" max="515" width="15.42578125" style="2" customWidth="1"/>
    <col min="516" max="516" width="14.5703125" style="2" customWidth="1"/>
    <col min="517" max="517" width="11.28515625" style="2" customWidth="1"/>
    <col min="518" max="518" width="5.85546875" style="2" customWidth="1"/>
    <col min="519" max="519" width="11.85546875" style="2" bestFit="1" customWidth="1"/>
    <col min="520" max="520" width="10.42578125" style="2" customWidth="1"/>
    <col min="521" max="521" width="5.5703125" style="2" customWidth="1"/>
    <col min="522" max="522" width="7.5703125" style="2" customWidth="1"/>
    <col min="523" max="523" width="13.140625" style="2" bestFit="1" customWidth="1"/>
    <col min="524" max="525" width="7" style="2" customWidth="1"/>
    <col min="526" max="526" width="11.140625" style="2" customWidth="1"/>
    <col min="527" max="527" width="12.5703125" style="2" bestFit="1" customWidth="1"/>
    <col min="528" max="528" width="10.42578125" style="2" customWidth="1"/>
    <col min="529" max="529" width="7.42578125" style="2" customWidth="1"/>
    <col min="530" max="530" width="15.85546875" style="2" bestFit="1" customWidth="1"/>
    <col min="531" max="531" width="5.85546875" style="2" customWidth="1"/>
    <col min="532" max="538" width="0" style="2" hidden="1" customWidth="1"/>
    <col min="539" max="768" width="9" style="2"/>
    <col min="769" max="769" width="5" style="2" bestFit="1" customWidth="1"/>
    <col min="770" max="770" width="22.85546875" style="2" customWidth="1"/>
    <col min="771" max="771" width="15.42578125" style="2" customWidth="1"/>
    <col min="772" max="772" width="14.5703125" style="2" customWidth="1"/>
    <col min="773" max="773" width="11.28515625" style="2" customWidth="1"/>
    <col min="774" max="774" width="5.85546875" style="2" customWidth="1"/>
    <col min="775" max="775" width="11.85546875" style="2" bestFit="1" customWidth="1"/>
    <col min="776" max="776" width="10.42578125" style="2" customWidth="1"/>
    <col min="777" max="777" width="5.5703125" style="2" customWidth="1"/>
    <col min="778" max="778" width="7.5703125" style="2" customWidth="1"/>
    <col min="779" max="779" width="13.140625" style="2" bestFit="1" customWidth="1"/>
    <col min="780" max="781" width="7" style="2" customWidth="1"/>
    <col min="782" max="782" width="11.140625" style="2" customWidth="1"/>
    <col min="783" max="783" width="12.5703125" style="2" bestFit="1" customWidth="1"/>
    <col min="784" max="784" width="10.42578125" style="2" customWidth="1"/>
    <col min="785" max="785" width="7.42578125" style="2" customWidth="1"/>
    <col min="786" max="786" width="15.85546875" style="2" bestFit="1" customWidth="1"/>
    <col min="787" max="787" width="5.85546875" style="2" customWidth="1"/>
    <col min="788" max="794" width="0" style="2" hidden="1" customWidth="1"/>
    <col min="795" max="1024" width="9" style="2"/>
    <col min="1025" max="1025" width="5" style="2" bestFit="1" customWidth="1"/>
    <col min="1026" max="1026" width="22.85546875" style="2" customWidth="1"/>
    <col min="1027" max="1027" width="15.42578125" style="2" customWidth="1"/>
    <col min="1028" max="1028" width="14.5703125" style="2" customWidth="1"/>
    <col min="1029" max="1029" width="11.28515625" style="2" customWidth="1"/>
    <col min="1030" max="1030" width="5.85546875" style="2" customWidth="1"/>
    <col min="1031" max="1031" width="11.85546875" style="2" bestFit="1" customWidth="1"/>
    <col min="1032" max="1032" width="10.42578125" style="2" customWidth="1"/>
    <col min="1033" max="1033" width="5.5703125" style="2" customWidth="1"/>
    <col min="1034" max="1034" width="7.5703125" style="2" customWidth="1"/>
    <col min="1035" max="1035" width="13.140625" style="2" bestFit="1" customWidth="1"/>
    <col min="1036" max="1037" width="7" style="2" customWidth="1"/>
    <col min="1038" max="1038" width="11.140625" style="2" customWidth="1"/>
    <col min="1039" max="1039" width="12.5703125" style="2" bestFit="1" customWidth="1"/>
    <col min="1040" max="1040" width="10.42578125" style="2" customWidth="1"/>
    <col min="1041" max="1041" width="7.42578125" style="2" customWidth="1"/>
    <col min="1042" max="1042" width="15.85546875" style="2" bestFit="1" customWidth="1"/>
    <col min="1043" max="1043" width="5.85546875" style="2" customWidth="1"/>
    <col min="1044" max="1050" width="0" style="2" hidden="1" customWidth="1"/>
    <col min="1051" max="1280" width="9" style="2"/>
    <col min="1281" max="1281" width="5" style="2" bestFit="1" customWidth="1"/>
    <col min="1282" max="1282" width="22.85546875" style="2" customWidth="1"/>
    <col min="1283" max="1283" width="15.42578125" style="2" customWidth="1"/>
    <col min="1284" max="1284" width="14.5703125" style="2" customWidth="1"/>
    <col min="1285" max="1285" width="11.28515625" style="2" customWidth="1"/>
    <col min="1286" max="1286" width="5.85546875" style="2" customWidth="1"/>
    <col min="1287" max="1287" width="11.85546875" style="2" bestFit="1" customWidth="1"/>
    <col min="1288" max="1288" width="10.42578125" style="2" customWidth="1"/>
    <col min="1289" max="1289" width="5.5703125" style="2" customWidth="1"/>
    <col min="1290" max="1290" width="7.5703125" style="2" customWidth="1"/>
    <col min="1291" max="1291" width="13.140625" style="2" bestFit="1" customWidth="1"/>
    <col min="1292" max="1293" width="7" style="2" customWidth="1"/>
    <col min="1294" max="1294" width="11.140625" style="2" customWidth="1"/>
    <col min="1295" max="1295" width="12.5703125" style="2" bestFit="1" customWidth="1"/>
    <col min="1296" max="1296" width="10.42578125" style="2" customWidth="1"/>
    <col min="1297" max="1297" width="7.42578125" style="2" customWidth="1"/>
    <col min="1298" max="1298" width="15.85546875" style="2" bestFit="1" customWidth="1"/>
    <col min="1299" max="1299" width="5.85546875" style="2" customWidth="1"/>
    <col min="1300" max="1306" width="0" style="2" hidden="1" customWidth="1"/>
    <col min="1307" max="1536" width="9" style="2"/>
    <col min="1537" max="1537" width="5" style="2" bestFit="1" customWidth="1"/>
    <col min="1538" max="1538" width="22.85546875" style="2" customWidth="1"/>
    <col min="1539" max="1539" width="15.42578125" style="2" customWidth="1"/>
    <col min="1540" max="1540" width="14.5703125" style="2" customWidth="1"/>
    <col min="1541" max="1541" width="11.28515625" style="2" customWidth="1"/>
    <col min="1542" max="1542" width="5.85546875" style="2" customWidth="1"/>
    <col min="1543" max="1543" width="11.85546875" style="2" bestFit="1" customWidth="1"/>
    <col min="1544" max="1544" width="10.42578125" style="2" customWidth="1"/>
    <col min="1545" max="1545" width="5.5703125" style="2" customWidth="1"/>
    <col min="1546" max="1546" width="7.5703125" style="2" customWidth="1"/>
    <col min="1547" max="1547" width="13.140625" style="2" bestFit="1" customWidth="1"/>
    <col min="1548" max="1549" width="7" style="2" customWidth="1"/>
    <col min="1550" max="1550" width="11.140625" style="2" customWidth="1"/>
    <col min="1551" max="1551" width="12.5703125" style="2" bestFit="1" customWidth="1"/>
    <col min="1552" max="1552" width="10.42578125" style="2" customWidth="1"/>
    <col min="1553" max="1553" width="7.42578125" style="2" customWidth="1"/>
    <col min="1554" max="1554" width="15.85546875" style="2" bestFit="1" customWidth="1"/>
    <col min="1555" max="1555" width="5.85546875" style="2" customWidth="1"/>
    <col min="1556" max="1562" width="0" style="2" hidden="1" customWidth="1"/>
    <col min="1563" max="1792" width="9" style="2"/>
    <col min="1793" max="1793" width="5" style="2" bestFit="1" customWidth="1"/>
    <col min="1794" max="1794" width="22.85546875" style="2" customWidth="1"/>
    <col min="1795" max="1795" width="15.42578125" style="2" customWidth="1"/>
    <col min="1796" max="1796" width="14.5703125" style="2" customWidth="1"/>
    <col min="1797" max="1797" width="11.28515625" style="2" customWidth="1"/>
    <col min="1798" max="1798" width="5.85546875" style="2" customWidth="1"/>
    <col min="1799" max="1799" width="11.85546875" style="2" bestFit="1" customWidth="1"/>
    <col min="1800" max="1800" width="10.42578125" style="2" customWidth="1"/>
    <col min="1801" max="1801" width="5.5703125" style="2" customWidth="1"/>
    <col min="1802" max="1802" width="7.5703125" style="2" customWidth="1"/>
    <col min="1803" max="1803" width="13.140625" style="2" bestFit="1" customWidth="1"/>
    <col min="1804" max="1805" width="7" style="2" customWidth="1"/>
    <col min="1806" max="1806" width="11.140625" style="2" customWidth="1"/>
    <col min="1807" max="1807" width="12.5703125" style="2" bestFit="1" customWidth="1"/>
    <col min="1808" max="1808" width="10.42578125" style="2" customWidth="1"/>
    <col min="1809" max="1809" width="7.42578125" style="2" customWidth="1"/>
    <col min="1810" max="1810" width="15.85546875" style="2" bestFit="1" customWidth="1"/>
    <col min="1811" max="1811" width="5.85546875" style="2" customWidth="1"/>
    <col min="1812" max="1818" width="0" style="2" hidden="1" customWidth="1"/>
    <col min="1819" max="2048" width="9" style="2"/>
    <col min="2049" max="2049" width="5" style="2" bestFit="1" customWidth="1"/>
    <col min="2050" max="2050" width="22.85546875" style="2" customWidth="1"/>
    <col min="2051" max="2051" width="15.42578125" style="2" customWidth="1"/>
    <col min="2052" max="2052" width="14.5703125" style="2" customWidth="1"/>
    <col min="2053" max="2053" width="11.28515625" style="2" customWidth="1"/>
    <col min="2054" max="2054" width="5.85546875" style="2" customWidth="1"/>
    <col min="2055" max="2055" width="11.85546875" style="2" bestFit="1" customWidth="1"/>
    <col min="2056" max="2056" width="10.42578125" style="2" customWidth="1"/>
    <col min="2057" max="2057" width="5.5703125" style="2" customWidth="1"/>
    <col min="2058" max="2058" width="7.5703125" style="2" customWidth="1"/>
    <col min="2059" max="2059" width="13.140625" style="2" bestFit="1" customWidth="1"/>
    <col min="2060" max="2061" width="7" style="2" customWidth="1"/>
    <col min="2062" max="2062" width="11.140625" style="2" customWidth="1"/>
    <col min="2063" max="2063" width="12.5703125" style="2" bestFit="1" customWidth="1"/>
    <col min="2064" max="2064" width="10.42578125" style="2" customWidth="1"/>
    <col min="2065" max="2065" width="7.42578125" style="2" customWidth="1"/>
    <col min="2066" max="2066" width="15.85546875" style="2" bestFit="1" customWidth="1"/>
    <col min="2067" max="2067" width="5.85546875" style="2" customWidth="1"/>
    <col min="2068" max="2074" width="0" style="2" hidden="1" customWidth="1"/>
    <col min="2075" max="2304" width="9" style="2"/>
    <col min="2305" max="2305" width="5" style="2" bestFit="1" customWidth="1"/>
    <col min="2306" max="2306" width="22.85546875" style="2" customWidth="1"/>
    <col min="2307" max="2307" width="15.42578125" style="2" customWidth="1"/>
    <col min="2308" max="2308" width="14.5703125" style="2" customWidth="1"/>
    <col min="2309" max="2309" width="11.28515625" style="2" customWidth="1"/>
    <col min="2310" max="2310" width="5.85546875" style="2" customWidth="1"/>
    <col min="2311" max="2311" width="11.85546875" style="2" bestFit="1" customWidth="1"/>
    <col min="2312" max="2312" width="10.42578125" style="2" customWidth="1"/>
    <col min="2313" max="2313" width="5.5703125" style="2" customWidth="1"/>
    <col min="2314" max="2314" width="7.5703125" style="2" customWidth="1"/>
    <col min="2315" max="2315" width="13.140625" style="2" bestFit="1" customWidth="1"/>
    <col min="2316" max="2317" width="7" style="2" customWidth="1"/>
    <col min="2318" max="2318" width="11.140625" style="2" customWidth="1"/>
    <col min="2319" max="2319" width="12.5703125" style="2" bestFit="1" customWidth="1"/>
    <col min="2320" max="2320" width="10.42578125" style="2" customWidth="1"/>
    <col min="2321" max="2321" width="7.42578125" style="2" customWidth="1"/>
    <col min="2322" max="2322" width="15.85546875" style="2" bestFit="1" customWidth="1"/>
    <col min="2323" max="2323" width="5.85546875" style="2" customWidth="1"/>
    <col min="2324" max="2330" width="0" style="2" hidden="1" customWidth="1"/>
    <col min="2331" max="2560" width="9" style="2"/>
    <col min="2561" max="2561" width="5" style="2" bestFit="1" customWidth="1"/>
    <col min="2562" max="2562" width="22.85546875" style="2" customWidth="1"/>
    <col min="2563" max="2563" width="15.42578125" style="2" customWidth="1"/>
    <col min="2564" max="2564" width="14.5703125" style="2" customWidth="1"/>
    <col min="2565" max="2565" width="11.28515625" style="2" customWidth="1"/>
    <col min="2566" max="2566" width="5.85546875" style="2" customWidth="1"/>
    <col min="2567" max="2567" width="11.85546875" style="2" bestFit="1" customWidth="1"/>
    <col min="2568" max="2568" width="10.42578125" style="2" customWidth="1"/>
    <col min="2569" max="2569" width="5.5703125" style="2" customWidth="1"/>
    <col min="2570" max="2570" width="7.5703125" style="2" customWidth="1"/>
    <col min="2571" max="2571" width="13.140625" style="2" bestFit="1" customWidth="1"/>
    <col min="2572" max="2573" width="7" style="2" customWidth="1"/>
    <col min="2574" max="2574" width="11.140625" style="2" customWidth="1"/>
    <col min="2575" max="2575" width="12.5703125" style="2" bestFit="1" customWidth="1"/>
    <col min="2576" max="2576" width="10.42578125" style="2" customWidth="1"/>
    <col min="2577" max="2577" width="7.42578125" style="2" customWidth="1"/>
    <col min="2578" max="2578" width="15.85546875" style="2" bestFit="1" customWidth="1"/>
    <col min="2579" max="2579" width="5.85546875" style="2" customWidth="1"/>
    <col min="2580" max="2586" width="0" style="2" hidden="1" customWidth="1"/>
    <col min="2587" max="2816" width="9" style="2"/>
    <col min="2817" max="2817" width="5" style="2" bestFit="1" customWidth="1"/>
    <col min="2818" max="2818" width="22.85546875" style="2" customWidth="1"/>
    <col min="2819" max="2819" width="15.42578125" style="2" customWidth="1"/>
    <col min="2820" max="2820" width="14.5703125" style="2" customWidth="1"/>
    <col min="2821" max="2821" width="11.28515625" style="2" customWidth="1"/>
    <col min="2822" max="2822" width="5.85546875" style="2" customWidth="1"/>
    <col min="2823" max="2823" width="11.85546875" style="2" bestFit="1" customWidth="1"/>
    <col min="2824" max="2824" width="10.42578125" style="2" customWidth="1"/>
    <col min="2825" max="2825" width="5.5703125" style="2" customWidth="1"/>
    <col min="2826" max="2826" width="7.5703125" style="2" customWidth="1"/>
    <col min="2827" max="2827" width="13.140625" style="2" bestFit="1" customWidth="1"/>
    <col min="2828" max="2829" width="7" style="2" customWidth="1"/>
    <col min="2830" max="2830" width="11.140625" style="2" customWidth="1"/>
    <col min="2831" max="2831" width="12.5703125" style="2" bestFit="1" customWidth="1"/>
    <col min="2832" max="2832" width="10.42578125" style="2" customWidth="1"/>
    <col min="2833" max="2833" width="7.42578125" style="2" customWidth="1"/>
    <col min="2834" max="2834" width="15.85546875" style="2" bestFit="1" customWidth="1"/>
    <col min="2835" max="2835" width="5.85546875" style="2" customWidth="1"/>
    <col min="2836" max="2842" width="0" style="2" hidden="1" customWidth="1"/>
    <col min="2843" max="3072" width="9" style="2"/>
    <col min="3073" max="3073" width="5" style="2" bestFit="1" customWidth="1"/>
    <col min="3074" max="3074" width="22.85546875" style="2" customWidth="1"/>
    <col min="3075" max="3075" width="15.42578125" style="2" customWidth="1"/>
    <col min="3076" max="3076" width="14.5703125" style="2" customWidth="1"/>
    <col min="3077" max="3077" width="11.28515625" style="2" customWidth="1"/>
    <col min="3078" max="3078" width="5.85546875" style="2" customWidth="1"/>
    <col min="3079" max="3079" width="11.85546875" style="2" bestFit="1" customWidth="1"/>
    <col min="3080" max="3080" width="10.42578125" style="2" customWidth="1"/>
    <col min="3081" max="3081" width="5.5703125" style="2" customWidth="1"/>
    <col min="3082" max="3082" width="7.5703125" style="2" customWidth="1"/>
    <col min="3083" max="3083" width="13.140625" style="2" bestFit="1" customWidth="1"/>
    <col min="3084" max="3085" width="7" style="2" customWidth="1"/>
    <col min="3086" max="3086" width="11.140625" style="2" customWidth="1"/>
    <col min="3087" max="3087" width="12.5703125" style="2" bestFit="1" customWidth="1"/>
    <col min="3088" max="3088" width="10.42578125" style="2" customWidth="1"/>
    <col min="3089" max="3089" width="7.42578125" style="2" customWidth="1"/>
    <col min="3090" max="3090" width="15.85546875" style="2" bestFit="1" customWidth="1"/>
    <col min="3091" max="3091" width="5.85546875" style="2" customWidth="1"/>
    <col min="3092" max="3098" width="0" style="2" hidden="1" customWidth="1"/>
    <col min="3099" max="3328" width="9" style="2"/>
    <col min="3329" max="3329" width="5" style="2" bestFit="1" customWidth="1"/>
    <col min="3330" max="3330" width="22.85546875" style="2" customWidth="1"/>
    <col min="3331" max="3331" width="15.42578125" style="2" customWidth="1"/>
    <col min="3332" max="3332" width="14.5703125" style="2" customWidth="1"/>
    <col min="3333" max="3333" width="11.28515625" style="2" customWidth="1"/>
    <col min="3334" max="3334" width="5.85546875" style="2" customWidth="1"/>
    <col min="3335" max="3335" width="11.85546875" style="2" bestFit="1" customWidth="1"/>
    <col min="3336" max="3336" width="10.42578125" style="2" customWidth="1"/>
    <col min="3337" max="3337" width="5.5703125" style="2" customWidth="1"/>
    <col min="3338" max="3338" width="7.5703125" style="2" customWidth="1"/>
    <col min="3339" max="3339" width="13.140625" style="2" bestFit="1" customWidth="1"/>
    <col min="3340" max="3341" width="7" style="2" customWidth="1"/>
    <col min="3342" max="3342" width="11.140625" style="2" customWidth="1"/>
    <col min="3343" max="3343" width="12.5703125" style="2" bestFit="1" customWidth="1"/>
    <col min="3344" max="3344" width="10.42578125" style="2" customWidth="1"/>
    <col min="3345" max="3345" width="7.42578125" style="2" customWidth="1"/>
    <col min="3346" max="3346" width="15.85546875" style="2" bestFit="1" customWidth="1"/>
    <col min="3347" max="3347" width="5.85546875" style="2" customWidth="1"/>
    <col min="3348" max="3354" width="0" style="2" hidden="1" customWidth="1"/>
    <col min="3355" max="3584" width="9" style="2"/>
    <col min="3585" max="3585" width="5" style="2" bestFit="1" customWidth="1"/>
    <col min="3586" max="3586" width="22.85546875" style="2" customWidth="1"/>
    <col min="3587" max="3587" width="15.42578125" style="2" customWidth="1"/>
    <col min="3588" max="3588" width="14.5703125" style="2" customWidth="1"/>
    <col min="3589" max="3589" width="11.28515625" style="2" customWidth="1"/>
    <col min="3590" max="3590" width="5.85546875" style="2" customWidth="1"/>
    <col min="3591" max="3591" width="11.85546875" style="2" bestFit="1" customWidth="1"/>
    <col min="3592" max="3592" width="10.42578125" style="2" customWidth="1"/>
    <col min="3593" max="3593" width="5.5703125" style="2" customWidth="1"/>
    <col min="3594" max="3594" width="7.5703125" style="2" customWidth="1"/>
    <col min="3595" max="3595" width="13.140625" style="2" bestFit="1" customWidth="1"/>
    <col min="3596" max="3597" width="7" style="2" customWidth="1"/>
    <col min="3598" max="3598" width="11.140625" style="2" customWidth="1"/>
    <col min="3599" max="3599" width="12.5703125" style="2" bestFit="1" customWidth="1"/>
    <col min="3600" max="3600" width="10.42578125" style="2" customWidth="1"/>
    <col min="3601" max="3601" width="7.42578125" style="2" customWidth="1"/>
    <col min="3602" max="3602" width="15.85546875" style="2" bestFit="1" customWidth="1"/>
    <col min="3603" max="3603" width="5.85546875" style="2" customWidth="1"/>
    <col min="3604" max="3610" width="0" style="2" hidden="1" customWidth="1"/>
    <col min="3611" max="3840" width="9" style="2"/>
    <col min="3841" max="3841" width="5" style="2" bestFit="1" customWidth="1"/>
    <col min="3842" max="3842" width="22.85546875" style="2" customWidth="1"/>
    <col min="3843" max="3843" width="15.42578125" style="2" customWidth="1"/>
    <col min="3844" max="3844" width="14.5703125" style="2" customWidth="1"/>
    <col min="3845" max="3845" width="11.28515625" style="2" customWidth="1"/>
    <col min="3846" max="3846" width="5.85546875" style="2" customWidth="1"/>
    <col min="3847" max="3847" width="11.85546875" style="2" bestFit="1" customWidth="1"/>
    <col min="3848" max="3848" width="10.42578125" style="2" customWidth="1"/>
    <col min="3849" max="3849" width="5.5703125" style="2" customWidth="1"/>
    <col min="3850" max="3850" width="7.5703125" style="2" customWidth="1"/>
    <col min="3851" max="3851" width="13.140625" style="2" bestFit="1" customWidth="1"/>
    <col min="3852" max="3853" width="7" style="2" customWidth="1"/>
    <col min="3854" max="3854" width="11.140625" style="2" customWidth="1"/>
    <col min="3855" max="3855" width="12.5703125" style="2" bestFit="1" customWidth="1"/>
    <col min="3856" max="3856" width="10.42578125" style="2" customWidth="1"/>
    <col min="3857" max="3857" width="7.42578125" style="2" customWidth="1"/>
    <col min="3858" max="3858" width="15.85546875" style="2" bestFit="1" customWidth="1"/>
    <col min="3859" max="3859" width="5.85546875" style="2" customWidth="1"/>
    <col min="3860" max="3866" width="0" style="2" hidden="1" customWidth="1"/>
    <col min="3867" max="4096" width="9" style="2"/>
    <col min="4097" max="4097" width="5" style="2" bestFit="1" customWidth="1"/>
    <col min="4098" max="4098" width="22.85546875" style="2" customWidth="1"/>
    <col min="4099" max="4099" width="15.42578125" style="2" customWidth="1"/>
    <col min="4100" max="4100" width="14.5703125" style="2" customWidth="1"/>
    <col min="4101" max="4101" width="11.28515625" style="2" customWidth="1"/>
    <col min="4102" max="4102" width="5.85546875" style="2" customWidth="1"/>
    <col min="4103" max="4103" width="11.85546875" style="2" bestFit="1" customWidth="1"/>
    <col min="4104" max="4104" width="10.42578125" style="2" customWidth="1"/>
    <col min="4105" max="4105" width="5.5703125" style="2" customWidth="1"/>
    <col min="4106" max="4106" width="7.5703125" style="2" customWidth="1"/>
    <col min="4107" max="4107" width="13.140625" style="2" bestFit="1" customWidth="1"/>
    <col min="4108" max="4109" width="7" style="2" customWidth="1"/>
    <col min="4110" max="4110" width="11.140625" style="2" customWidth="1"/>
    <col min="4111" max="4111" width="12.5703125" style="2" bestFit="1" customWidth="1"/>
    <col min="4112" max="4112" width="10.42578125" style="2" customWidth="1"/>
    <col min="4113" max="4113" width="7.42578125" style="2" customWidth="1"/>
    <col min="4114" max="4114" width="15.85546875" style="2" bestFit="1" customWidth="1"/>
    <col min="4115" max="4115" width="5.85546875" style="2" customWidth="1"/>
    <col min="4116" max="4122" width="0" style="2" hidden="1" customWidth="1"/>
    <col min="4123" max="4352" width="9" style="2"/>
    <col min="4353" max="4353" width="5" style="2" bestFit="1" customWidth="1"/>
    <col min="4354" max="4354" width="22.85546875" style="2" customWidth="1"/>
    <col min="4355" max="4355" width="15.42578125" style="2" customWidth="1"/>
    <col min="4356" max="4356" width="14.5703125" style="2" customWidth="1"/>
    <col min="4357" max="4357" width="11.28515625" style="2" customWidth="1"/>
    <col min="4358" max="4358" width="5.85546875" style="2" customWidth="1"/>
    <col min="4359" max="4359" width="11.85546875" style="2" bestFit="1" customWidth="1"/>
    <col min="4360" max="4360" width="10.42578125" style="2" customWidth="1"/>
    <col min="4361" max="4361" width="5.5703125" style="2" customWidth="1"/>
    <col min="4362" max="4362" width="7.5703125" style="2" customWidth="1"/>
    <col min="4363" max="4363" width="13.140625" style="2" bestFit="1" customWidth="1"/>
    <col min="4364" max="4365" width="7" style="2" customWidth="1"/>
    <col min="4366" max="4366" width="11.140625" style="2" customWidth="1"/>
    <col min="4367" max="4367" width="12.5703125" style="2" bestFit="1" customWidth="1"/>
    <col min="4368" max="4368" width="10.42578125" style="2" customWidth="1"/>
    <col min="4369" max="4369" width="7.42578125" style="2" customWidth="1"/>
    <col min="4370" max="4370" width="15.85546875" style="2" bestFit="1" customWidth="1"/>
    <col min="4371" max="4371" width="5.85546875" style="2" customWidth="1"/>
    <col min="4372" max="4378" width="0" style="2" hidden="1" customWidth="1"/>
    <col min="4379" max="4608" width="9" style="2"/>
    <col min="4609" max="4609" width="5" style="2" bestFit="1" customWidth="1"/>
    <col min="4610" max="4610" width="22.85546875" style="2" customWidth="1"/>
    <col min="4611" max="4611" width="15.42578125" style="2" customWidth="1"/>
    <col min="4612" max="4612" width="14.5703125" style="2" customWidth="1"/>
    <col min="4613" max="4613" width="11.28515625" style="2" customWidth="1"/>
    <col min="4614" max="4614" width="5.85546875" style="2" customWidth="1"/>
    <col min="4615" max="4615" width="11.85546875" style="2" bestFit="1" customWidth="1"/>
    <col min="4616" max="4616" width="10.42578125" style="2" customWidth="1"/>
    <col min="4617" max="4617" width="5.5703125" style="2" customWidth="1"/>
    <col min="4618" max="4618" width="7.5703125" style="2" customWidth="1"/>
    <col min="4619" max="4619" width="13.140625" style="2" bestFit="1" customWidth="1"/>
    <col min="4620" max="4621" width="7" style="2" customWidth="1"/>
    <col min="4622" max="4622" width="11.140625" style="2" customWidth="1"/>
    <col min="4623" max="4623" width="12.5703125" style="2" bestFit="1" customWidth="1"/>
    <col min="4624" max="4624" width="10.42578125" style="2" customWidth="1"/>
    <col min="4625" max="4625" width="7.42578125" style="2" customWidth="1"/>
    <col min="4626" max="4626" width="15.85546875" style="2" bestFit="1" customWidth="1"/>
    <col min="4627" max="4627" width="5.85546875" style="2" customWidth="1"/>
    <col min="4628" max="4634" width="0" style="2" hidden="1" customWidth="1"/>
    <col min="4635" max="4864" width="9" style="2"/>
    <col min="4865" max="4865" width="5" style="2" bestFit="1" customWidth="1"/>
    <col min="4866" max="4866" width="22.85546875" style="2" customWidth="1"/>
    <col min="4867" max="4867" width="15.42578125" style="2" customWidth="1"/>
    <col min="4868" max="4868" width="14.5703125" style="2" customWidth="1"/>
    <col min="4869" max="4869" width="11.28515625" style="2" customWidth="1"/>
    <col min="4870" max="4870" width="5.85546875" style="2" customWidth="1"/>
    <col min="4871" max="4871" width="11.85546875" style="2" bestFit="1" customWidth="1"/>
    <col min="4872" max="4872" width="10.42578125" style="2" customWidth="1"/>
    <col min="4873" max="4873" width="5.5703125" style="2" customWidth="1"/>
    <col min="4874" max="4874" width="7.5703125" style="2" customWidth="1"/>
    <col min="4875" max="4875" width="13.140625" style="2" bestFit="1" customWidth="1"/>
    <col min="4876" max="4877" width="7" style="2" customWidth="1"/>
    <col min="4878" max="4878" width="11.140625" style="2" customWidth="1"/>
    <col min="4879" max="4879" width="12.5703125" style="2" bestFit="1" customWidth="1"/>
    <col min="4880" max="4880" width="10.42578125" style="2" customWidth="1"/>
    <col min="4881" max="4881" width="7.42578125" style="2" customWidth="1"/>
    <col min="4882" max="4882" width="15.85546875" style="2" bestFit="1" customWidth="1"/>
    <col min="4883" max="4883" width="5.85546875" style="2" customWidth="1"/>
    <col min="4884" max="4890" width="0" style="2" hidden="1" customWidth="1"/>
    <col min="4891" max="5120" width="9" style="2"/>
    <col min="5121" max="5121" width="5" style="2" bestFit="1" customWidth="1"/>
    <col min="5122" max="5122" width="22.85546875" style="2" customWidth="1"/>
    <col min="5123" max="5123" width="15.42578125" style="2" customWidth="1"/>
    <col min="5124" max="5124" width="14.5703125" style="2" customWidth="1"/>
    <col min="5125" max="5125" width="11.28515625" style="2" customWidth="1"/>
    <col min="5126" max="5126" width="5.85546875" style="2" customWidth="1"/>
    <col min="5127" max="5127" width="11.85546875" style="2" bestFit="1" customWidth="1"/>
    <col min="5128" max="5128" width="10.42578125" style="2" customWidth="1"/>
    <col min="5129" max="5129" width="5.5703125" style="2" customWidth="1"/>
    <col min="5130" max="5130" width="7.5703125" style="2" customWidth="1"/>
    <col min="5131" max="5131" width="13.140625" style="2" bestFit="1" customWidth="1"/>
    <col min="5132" max="5133" width="7" style="2" customWidth="1"/>
    <col min="5134" max="5134" width="11.140625" style="2" customWidth="1"/>
    <col min="5135" max="5135" width="12.5703125" style="2" bestFit="1" customWidth="1"/>
    <col min="5136" max="5136" width="10.42578125" style="2" customWidth="1"/>
    <col min="5137" max="5137" width="7.42578125" style="2" customWidth="1"/>
    <col min="5138" max="5138" width="15.85546875" style="2" bestFit="1" customWidth="1"/>
    <col min="5139" max="5139" width="5.85546875" style="2" customWidth="1"/>
    <col min="5140" max="5146" width="0" style="2" hidden="1" customWidth="1"/>
    <col min="5147" max="5376" width="9" style="2"/>
    <col min="5377" max="5377" width="5" style="2" bestFit="1" customWidth="1"/>
    <col min="5378" max="5378" width="22.85546875" style="2" customWidth="1"/>
    <col min="5379" max="5379" width="15.42578125" style="2" customWidth="1"/>
    <col min="5380" max="5380" width="14.5703125" style="2" customWidth="1"/>
    <col min="5381" max="5381" width="11.28515625" style="2" customWidth="1"/>
    <col min="5382" max="5382" width="5.85546875" style="2" customWidth="1"/>
    <col min="5383" max="5383" width="11.85546875" style="2" bestFit="1" customWidth="1"/>
    <col min="5384" max="5384" width="10.42578125" style="2" customWidth="1"/>
    <col min="5385" max="5385" width="5.5703125" style="2" customWidth="1"/>
    <col min="5386" max="5386" width="7.5703125" style="2" customWidth="1"/>
    <col min="5387" max="5387" width="13.140625" style="2" bestFit="1" customWidth="1"/>
    <col min="5388" max="5389" width="7" style="2" customWidth="1"/>
    <col min="5390" max="5390" width="11.140625" style="2" customWidth="1"/>
    <col min="5391" max="5391" width="12.5703125" style="2" bestFit="1" customWidth="1"/>
    <col min="5392" max="5392" width="10.42578125" style="2" customWidth="1"/>
    <col min="5393" max="5393" width="7.42578125" style="2" customWidth="1"/>
    <col min="5394" max="5394" width="15.85546875" style="2" bestFit="1" customWidth="1"/>
    <col min="5395" max="5395" width="5.85546875" style="2" customWidth="1"/>
    <col min="5396" max="5402" width="0" style="2" hidden="1" customWidth="1"/>
    <col min="5403" max="5632" width="9" style="2"/>
    <col min="5633" max="5633" width="5" style="2" bestFit="1" customWidth="1"/>
    <col min="5634" max="5634" width="22.85546875" style="2" customWidth="1"/>
    <col min="5635" max="5635" width="15.42578125" style="2" customWidth="1"/>
    <col min="5636" max="5636" width="14.5703125" style="2" customWidth="1"/>
    <col min="5637" max="5637" width="11.28515625" style="2" customWidth="1"/>
    <col min="5638" max="5638" width="5.85546875" style="2" customWidth="1"/>
    <col min="5639" max="5639" width="11.85546875" style="2" bestFit="1" customWidth="1"/>
    <col min="5640" max="5640" width="10.42578125" style="2" customWidth="1"/>
    <col min="5641" max="5641" width="5.5703125" style="2" customWidth="1"/>
    <col min="5642" max="5642" width="7.5703125" style="2" customWidth="1"/>
    <col min="5643" max="5643" width="13.140625" style="2" bestFit="1" customWidth="1"/>
    <col min="5644" max="5645" width="7" style="2" customWidth="1"/>
    <col min="5646" max="5646" width="11.140625" style="2" customWidth="1"/>
    <col min="5647" max="5647" width="12.5703125" style="2" bestFit="1" customWidth="1"/>
    <col min="5648" max="5648" width="10.42578125" style="2" customWidth="1"/>
    <col min="5649" max="5649" width="7.42578125" style="2" customWidth="1"/>
    <col min="5650" max="5650" width="15.85546875" style="2" bestFit="1" customWidth="1"/>
    <col min="5651" max="5651" width="5.85546875" style="2" customWidth="1"/>
    <col min="5652" max="5658" width="0" style="2" hidden="1" customWidth="1"/>
    <col min="5659" max="5888" width="9" style="2"/>
    <col min="5889" max="5889" width="5" style="2" bestFit="1" customWidth="1"/>
    <col min="5890" max="5890" width="22.85546875" style="2" customWidth="1"/>
    <col min="5891" max="5891" width="15.42578125" style="2" customWidth="1"/>
    <col min="5892" max="5892" width="14.5703125" style="2" customWidth="1"/>
    <col min="5893" max="5893" width="11.28515625" style="2" customWidth="1"/>
    <col min="5894" max="5894" width="5.85546875" style="2" customWidth="1"/>
    <col min="5895" max="5895" width="11.85546875" style="2" bestFit="1" customWidth="1"/>
    <col min="5896" max="5896" width="10.42578125" style="2" customWidth="1"/>
    <col min="5897" max="5897" width="5.5703125" style="2" customWidth="1"/>
    <col min="5898" max="5898" width="7.5703125" style="2" customWidth="1"/>
    <col min="5899" max="5899" width="13.140625" style="2" bestFit="1" customWidth="1"/>
    <col min="5900" max="5901" width="7" style="2" customWidth="1"/>
    <col min="5902" max="5902" width="11.140625" style="2" customWidth="1"/>
    <col min="5903" max="5903" width="12.5703125" style="2" bestFit="1" customWidth="1"/>
    <col min="5904" max="5904" width="10.42578125" style="2" customWidth="1"/>
    <col min="5905" max="5905" width="7.42578125" style="2" customWidth="1"/>
    <col min="5906" max="5906" width="15.85546875" style="2" bestFit="1" customWidth="1"/>
    <col min="5907" max="5907" width="5.85546875" style="2" customWidth="1"/>
    <col min="5908" max="5914" width="0" style="2" hidden="1" customWidth="1"/>
    <col min="5915" max="6144" width="9" style="2"/>
    <col min="6145" max="6145" width="5" style="2" bestFit="1" customWidth="1"/>
    <col min="6146" max="6146" width="22.85546875" style="2" customWidth="1"/>
    <col min="6147" max="6147" width="15.42578125" style="2" customWidth="1"/>
    <col min="6148" max="6148" width="14.5703125" style="2" customWidth="1"/>
    <col min="6149" max="6149" width="11.28515625" style="2" customWidth="1"/>
    <col min="6150" max="6150" width="5.85546875" style="2" customWidth="1"/>
    <col min="6151" max="6151" width="11.85546875" style="2" bestFit="1" customWidth="1"/>
    <col min="6152" max="6152" width="10.42578125" style="2" customWidth="1"/>
    <col min="6153" max="6153" width="5.5703125" style="2" customWidth="1"/>
    <col min="6154" max="6154" width="7.5703125" style="2" customWidth="1"/>
    <col min="6155" max="6155" width="13.140625" style="2" bestFit="1" customWidth="1"/>
    <col min="6156" max="6157" width="7" style="2" customWidth="1"/>
    <col min="6158" max="6158" width="11.140625" style="2" customWidth="1"/>
    <col min="6159" max="6159" width="12.5703125" style="2" bestFit="1" customWidth="1"/>
    <col min="6160" max="6160" width="10.42578125" style="2" customWidth="1"/>
    <col min="6161" max="6161" width="7.42578125" style="2" customWidth="1"/>
    <col min="6162" max="6162" width="15.85546875" style="2" bestFit="1" customWidth="1"/>
    <col min="6163" max="6163" width="5.85546875" style="2" customWidth="1"/>
    <col min="6164" max="6170" width="0" style="2" hidden="1" customWidth="1"/>
    <col min="6171" max="6400" width="9" style="2"/>
    <col min="6401" max="6401" width="5" style="2" bestFit="1" customWidth="1"/>
    <col min="6402" max="6402" width="22.85546875" style="2" customWidth="1"/>
    <col min="6403" max="6403" width="15.42578125" style="2" customWidth="1"/>
    <col min="6404" max="6404" width="14.5703125" style="2" customWidth="1"/>
    <col min="6405" max="6405" width="11.28515625" style="2" customWidth="1"/>
    <col min="6406" max="6406" width="5.85546875" style="2" customWidth="1"/>
    <col min="6407" max="6407" width="11.85546875" style="2" bestFit="1" customWidth="1"/>
    <col min="6408" max="6408" width="10.42578125" style="2" customWidth="1"/>
    <col min="6409" max="6409" width="5.5703125" style="2" customWidth="1"/>
    <col min="6410" max="6410" width="7.5703125" style="2" customWidth="1"/>
    <col min="6411" max="6411" width="13.140625" style="2" bestFit="1" customWidth="1"/>
    <col min="6412" max="6413" width="7" style="2" customWidth="1"/>
    <col min="6414" max="6414" width="11.140625" style="2" customWidth="1"/>
    <col min="6415" max="6415" width="12.5703125" style="2" bestFit="1" customWidth="1"/>
    <col min="6416" max="6416" width="10.42578125" style="2" customWidth="1"/>
    <col min="6417" max="6417" width="7.42578125" style="2" customWidth="1"/>
    <col min="6418" max="6418" width="15.85546875" style="2" bestFit="1" customWidth="1"/>
    <col min="6419" max="6419" width="5.85546875" style="2" customWidth="1"/>
    <col min="6420" max="6426" width="0" style="2" hidden="1" customWidth="1"/>
    <col min="6427" max="6656" width="9" style="2"/>
    <col min="6657" max="6657" width="5" style="2" bestFit="1" customWidth="1"/>
    <col min="6658" max="6658" width="22.85546875" style="2" customWidth="1"/>
    <col min="6659" max="6659" width="15.42578125" style="2" customWidth="1"/>
    <col min="6660" max="6660" width="14.5703125" style="2" customWidth="1"/>
    <col min="6661" max="6661" width="11.28515625" style="2" customWidth="1"/>
    <col min="6662" max="6662" width="5.85546875" style="2" customWidth="1"/>
    <col min="6663" max="6663" width="11.85546875" style="2" bestFit="1" customWidth="1"/>
    <col min="6664" max="6664" width="10.42578125" style="2" customWidth="1"/>
    <col min="6665" max="6665" width="5.5703125" style="2" customWidth="1"/>
    <col min="6666" max="6666" width="7.5703125" style="2" customWidth="1"/>
    <col min="6667" max="6667" width="13.140625" style="2" bestFit="1" customWidth="1"/>
    <col min="6668" max="6669" width="7" style="2" customWidth="1"/>
    <col min="6670" max="6670" width="11.140625" style="2" customWidth="1"/>
    <col min="6671" max="6671" width="12.5703125" style="2" bestFit="1" customWidth="1"/>
    <col min="6672" max="6672" width="10.42578125" style="2" customWidth="1"/>
    <col min="6673" max="6673" width="7.42578125" style="2" customWidth="1"/>
    <col min="6674" max="6674" width="15.85546875" style="2" bestFit="1" customWidth="1"/>
    <col min="6675" max="6675" width="5.85546875" style="2" customWidth="1"/>
    <col min="6676" max="6682" width="0" style="2" hidden="1" customWidth="1"/>
    <col min="6683" max="6912" width="9" style="2"/>
    <col min="6913" max="6913" width="5" style="2" bestFit="1" customWidth="1"/>
    <col min="6914" max="6914" width="22.85546875" style="2" customWidth="1"/>
    <col min="6915" max="6915" width="15.42578125" style="2" customWidth="1"/>
    <col min="6916" max="6916" width="14.5703125" style="2" customWidth="1"/>
    <col min="6917" max="6917" width="11.28515625" style="2" customWidth="1"/>
    <col min="6918" max="6918" width="5.85546875" style="2" customWidth="1"/>
    <col min="6919" max="6919" width="11.85546875" style="2" bestFit="1" customWidth="1"/>
    <col min="6920" max="6920" width="10.42578125" style="2" customWidth="1"/>
    <col min="6921" max="6921" width="5.5703125" style="2" customWidth="1"/>
    <col min="6922" max="6922" width="7.5703125" style="2" customWidth="1"/>
    <col min="6923" max="6923" width="13.140625" style="2" bestFit="1" customWidth="1"/>
    <col min="6924" max="6925" width="7" style="2" customWidth="1"/>
    <col min="6926" max="6926" width="11.140625" style="2" customWidth="1"/>
    <col min="6927" max="6927" width="12.5703125" style="2" bestFit="1" customWidth="1"/>
    <col min="6928" max="6928" width="10.42578125" style="2" customWidth="1"/>
    <col min="6929" max="6929" width="7.42578125" style="2" customWidth="1"/>
    <col min="6930" max="6930" width="15.85546875" style="2" bestFit="1" customWidth="1"/>
    <col min="6931" max="6931" width="5.85546875" style="2" customWidth="1"/>
    <col min="6932" max="6938" width="0" style="2" hidden="1" customWidth="1"/>
    <col min="6939" max="7168" width="9" style="2"/>
    <col min="7169" max="7169" width="5" style="2" bestFit="1" customWidth="1"/>
    <col min="7170" max="7170" width="22.85546875" style="2" customWidth="1"/>
    <col min="7171" max="7171" width="15.42578125" style="2" customWidth="1"/>
    <col min="7172" max="7172" width="14.5703125" style="2" customWidth="1"/>
    <col min="7173" max="7173" width="11.28515625" style="2" customWidth="1"/>
    <col min="7174" max="7174" width="5.85546875" style="2" customWidth="1"/>
    <col min="7175" max="7175" width="11.85546875" style="2" bestFit="1" customWidth="1"/>
    <col min="7176" max="7176" width="10.42578125" style="2" customWidth="1"/>
    <col min="7177" max="7177" width="5.5703125" style="2" customWidth="1"/>
    <col min="7178" max="7178" width="7.5703125" style="2" customWidth="1"/>
    <col min="7179" max="7179" width="13.140625" style="2" bestFit="1" customWidth="1"/>
    <col min="7180" max="7181" width="7" style="2" customWidth="1"/>
    <col min="7182" max="7182" width="11.140625" style="2" customWidth="1"/>
    <col min="7183" max="7183" width="12.5703125" style="2" bestFit="1" customWidth="1"/>
    <col min="7184" max="7184" width="10.42578125" style="2" customWidth="1"/>
    <col min="7185" max="7185" width="7.42578125" style="2" customWidth="1"/>
    <col min="7186" max="7186" width="15.85546875" style="2" bestFit="1" customWidth="1"/>
    <col min="7187" max="7187" width="5.85546875" style="2" customWidth="1"/>
    <col min="7188" max="7194" width="0" style="2" hidden="1" customWidth="1"/>
    <col min="7195" max="7424" width="9" style="2"/>
    <col min="7425" max="7425" width="5" style="2" bestFit="1" customWidth="1"/>
    <col min="7426" max="7426" width="22.85546875" style="2" customWidth="1"/>
    <col min="7427" max="7427" width="15.42578125" style="2" customWidth="1"/>
    <col min="7428" max="7428" width="14.5703125" style="2" customWidth="1"/>
    <col min="7429" max="7429" width="11.28515625" style="2" customWidth="1"/>
    <col min="7430" max="7430" width="5.85546875" style="2" customWidth="1"/>
    <col min="7431" max="7431" width="11.85546875" style="2" bestFit="1" customWidth="1"/>
    <col min="7432" max="7432" width="10.42578125" style="2" customWidth="1"/>
    <col min="7433" max="7433" width="5.5703125" style="2" customWidth="1"/>
    <col min="7434" max="7434" width="7.5703125" style="2" customWidth="1"/>
    <col min="7435" max="7435" width="13.140625" style="2" bestFit="1" customWidth="1"/>
    <col min="7436" max="7437" width="7" style="2" customWidth="1"/>
    <col min="7438" max="7438" width="11.140625" style="2" customWidth="1"/>
    <col min="7439" max="7439" width="12.5703125" style="2" bestFit="1" customWidth="1"/>
    <col min="7440" max="7440" width="10.42578125" style="2" customWidth="1"/>
    <col min="7441" max="7441" width="7.42578125" style="2" customWidth="1"/>
    <col min="7442" max="7442" width="15.85546875" style="2" bestFit="1" customWidth="1"/>
    <col min="7443" max="7443" width="5.85546875" style="2" customWidth="1"/>
    <col min="7444" max="7450" width="0" style="2" hidden="1" customWidth="1"/>
    <col min="7451" max="7680" width="9" style="2"/>
    <col min="7681" max="7681" width="5" style="2" bestFit="1" customWidth="1"/>
    <col min="7682" max="7682" width="22.85546875" style="2" customWidth="1"/>
    <col min="7683" max="7683" width="15.42578125" style="2" customWidth="1"/>
    <col min="7684" max="7684" width="14.5703125" style="2" customWidth="1"/>
    <col min="7685" max="7685" width="11.28515625" style="2" customWidth="1"/>
    <col min="7686" max="7686" width="5.85546875" style="2" customWidth="1"/>
    <col min="7687" max="7687" width="11.85546875" style="2" bestFit="1" customWidth="1"/>
    <col min="7688" max="7688" width="10.42578125" style="2" customWidth="1"/>
    <col min="7689" max="7689" width="5.5703125" style="2" customWidth="1"/>
    <col min="7690" max="7690" width="7.5703125" style="2" customWidth="1"/>
    <col min="7691" max="7691" width="13.140625" style="2" bestFit="1" customWidth="1"/>
    <col min="7692" max="7693" width="7" style="2" customWidth="1"/>
    <col min="7694" max="7694" width="11.140625" style="2" customWidth="1"/>
    <col min="7695" max="7695" width="12.5703125" style="2" bestFit="1" customWidth="1"/>
    <col min="7696" max="7696" width="10.42578125" style="2" customWidth="1"/>
    <col min="7697" max="7697" width="7.42578125" style="2" customWidth="1"/>
    <col min="7698" max="7698" width="15.85546875" style="2" bestFit="1" customWidth="1"/>
    <col min="7699" max="7699" width="5.85546875" style="2" customWidth="1"/>
    <col min="7700" max="7706" width="0" style="2" hidden="1" customWidth="1"/>
    <col min="7707" max="7936" width="9" style="2"/>
    <col min="7937" max="7937" width="5" style="2" bestFit="1" customWidth="1"/>
    <col min="7938" max="7938" width="22.85546875" style="2" customWidth="1"/>
    <col min="7939" max="7939" width="15.42578125" style="2" customWidth="1"/>
    <col min="7940" max="7940" width="14.5703125" style="2" customWidth="1"/>
    <col min="7941" max="7941" width="11.28515625" style="2" customWidth="1"/>
    <col min="7942" max="7942" width="5.85546875" style="2" customWidth="1"/>
    <col min="7943" max="7943" width="11.85546875" style="2" bestFit="1" customWidth="1"/>
    <col min="7944" max="7944" width="10.42578125" style="2" customWidth="1"/>
    <col min="7945" max="7945" width="5.5703125" style="2" customWidth="1"/>
    <col min="7946" max="7946" width="7.5703125" style="2" customWidth="1"/>
    <col min="7947" max="7947" width="13.140625" style="2" bestFit="1" customWidth="1"/>
    <col min="7948" max="7949" width="7" style="2" customWidth="1"/>
    <col min="7950" max="7950" width="11.140625" style="2" customWidth="1"/>
    <col min="7951" max="7951" width="12.5703125" style="2" bestFit="1" customWidth="1"/>
    <col min="7952" max="7952" width="10.42578125" style="2" customWidth="1"/>
    <col min="7953" max="7953" width="7.42578125" style="2" customWidth="1"/>
    <col min="7954" max="7954" width="15.85546875" style="2" bestFit="1" customWidth="1"/>
    <col min="7955" max="7955" width="5.85546875" style="2" customWidth="1"/>
    <col min="7956" max="7962" width="0" style="2" hidden="1" customWidth="1"/>
    <col min="7963" max="8192" width="9" style="2"/>
    <col min="8193" max="8193" width="5" style="2" bestFit="1" customWidth="1"/>
    <col min="8194" max="8194" width="22.85546875" style="2" customWidth="1"/>
    <col min="8195" max="8195" width="15.42578125" style="2" customWidth="1"/>
    <col min="8196" max="8196" width="14.5703125" style="2" customWidth="1"/>
    <col min="8197" max="8197" width="11.28515625" style="2" customWidth="1"/>
    <col min="8198" max="8198" width="5.85546875" style="2" customWidth="1"/>
    <col min="8199" max="8199" width="11.85546875" style="2" bestFit="1" customWidth="1"/>
    <col min="8200" max="8200" width="10.42578125" style="2" customWidth="1"/>
    <col min="8201" max="8201" width="5.5703125" style="2" customWidth="1"/>
    <col min="8202" max="8202" width="7.5703125" style="2" customWidth="1"/>
    <col min="8203" max="8203" width="13.140625" style="2" bestFit="1" customWidth="1"/>
    <col min="8204" max="8205" width="7" style="2" customWidth="1"/>
    <col min="8206" max="8206" width="11.140625" style="2" customWidth="1"/>
    <col min="8207" max="8207" width="12.5703125" style="2" bestFit="1" customWidth="1"/>
    <col min="8208" max="8208" width="10.42578125" style="2" customWidth="1"/>
    <col min="8209" max="8209" width="7.42578125" style="2" customWidth="1"/>
    <col min="8210" max="8210" width="15.85546875" style="2" bestFit="1" customWidth="1"/>
    <col min="8211" max="8211" width="5.85546875" style="2" customWidth="1"/>
    <col min="8212" max="8218" width="0" style="2" hidden="1" customWidth="1"/>
    <col min="8219" max="8448" width="9" style="2"/>
    <col min="8449" max="8449" width="5" style="2" bestFit="1" customWidth="1"/>
    <col min="8450" max="8450" width="22.85546875" style="2" customWidth="1"/>
    <col min="8451" max="8451" width="15.42578125" style="2" customWidth="1"/>
    <col min="8452" max="8452" width="14.5703125" style="2" customWidth="1"/>
    <col min="8453" max="8453" width="11.28515625" style="2" customWidth="1"/>
    <col min="8454" max="8454" width="5.85546875" style="2" customWidth="1"/>
    <col min="8455" max="8455" width="11.85546875" style="2" bestFit="1" customWidth="1"/>
    <col min="8456" max="8456" width="10.42578125" style="2" customWidth="1"/>
    <col min="8457" max="8457" width="5.5703125" style="2" customWidth="1"/>
    <col min="8458" max="8458" width="7.5703125" style="2" customWidth="1"/>
    <col min="8459" max="8459" width="13.140625" style="2" bestFit="1" customWidth="1"/>
    <col min="8460" max="8461" width="7" style="2" customWidth="1"/>
    <col min="8462" max="8462" width="11.140625" style="2" customWidth="1"/>
    <col min="8463" max="8463" width="12.5703125" style="2" bestFit="1" customWidth="1"/>
    <col min="8464" max="8464" width="10.42578125" style="2" customWidth="1"/>
    <col min="8465" max="8465" width="7.42578125" style="2" customWidth="1"/>
    <col min="8466" max="8466" width="15.85546875" style="2" bestFit="1" customWidth="1"/>
    <col min="8467" max="8467" width="5.85546875" style="2" customWidth="1"/>
    <col min="8468" max="8474" width="0" style="2" hidden="1" customWidth="1"/>
    <col min="8475" max="8704" width="9" style="2"/>
    <col min="8705" max="8705" width="5" style="2" bestFit="1" customWidth="1"/>
    <col min="8706" max="8706" width="22.85546875" style="2" customWidth="1"/>
    <col min="8707" max="8707" width="15.42578125" style="2" customWidth="1"/>
    <col min="8708" max="8708" width="14.5703125" style="2" customWidth="1"/>
    <col min="8709" max="8709" width="11.28515625" style="2" customWidth="1"/>
    <col min="8710" max="8710" width="5.85546875" style="2" customWidth="1"/>
    <col min="8711" max="8711" width="11.85546875" style="2" bestFit="1" customWidth="1"/>
    <col min="8712" max="8712" width="10.42578125" style="2" customWidth="1"/>
    <col min="8713" max="8713" width="5.5703125" style="2" customWidth="1"/>
    <col min="8714" max="8714" width="7.5703125" style="2" customWidth="1"/>
    <col min="8715" max="8715" width="13.140625" style="2" bestFit="1" customWidth="1"/>
    <col min="8716" max="8717" width="7" style="2" customWidth="1"/>
    <col min="8718" max="8718" width="11.140625" style="2" customWidth="1"/>
    <col min="8719" max="8719" width="12.5703125" style="2" bestFit="1" customWidth="1"/>
    <col min="8720" max="8720" width="10.42578125" style="2" customWidth="1"/>
    <col min="8721" max="8721" width="7.42578125" style="2" customWidth="1"/>
    <col min="8722" max="8722" width="15.85546875" style="2" bestFit="1" customWidth="1"/>
    <col min="8723" max="8723" width="5.85546875" style="2" customWidth="1"/>
    <col min="8724" max="8730" width="0" style="2" hidden="1" customWidth="1"/>
    <col min="8731" max="8960" width="9" style="2"/>
    <col min="8961" max="8961" width="5" style="2" bestFit="1" customWidth="1"/>
    <col min="8962" max="8962" width="22.85546875" style="2" customWidth="1"/>
    <col min="8963" max="8963" width="15.42578125" style="2" customWidth="1"/>
    <col min="8964" max="8964" width="14.5703125" style="2" customWidth="1"/>
    <col min="8965" max="8965" width="11.28515625" style="2" customWidth="1"/>
    <col min="8966" max="8966" width="5.85546875" style="2" customWidth="1"/>
    <col min="8967" max="8967" width="11.85546875" style="2" bestFit="1" customWidth="1"/>
    <col min="8968" max="8968" width="10.42578125" style="2" customWidth="1"/>
    <col min="8969" max="8969" width="5.5703125" style="2" customWidth="1"/>
    <col min="8970" max="8970" width="7.5703125" style="2" customWidth="1"/>
    <col min="8971" max="8971" width="13.140625" style="2" bestFit="1" customWidth="1"/>
    <col min="8972" max="8973" width="7" style="2" customWidth="1"/>
    <col min="8974" max="8974" width="11.140625" style="2" customWidth="1"/>
    <col min="8975" max="8975" width="12.5703125" style="2" bestFit="1" customWidth="1"/>
    <col min="8976" max="8976" width="10.42578125" style="2" customWidth="1"/>
    <col min="8977" max="8977" width="7.42578125" style="2" customWidth="1"/>
    <col min="8978" max="8978" width="15.85546875" style="2" bestFit="1" customWidth="1"/>
    <col min="8979" max="8979" width="5.85546875" style="2" customWidth="1"/>
    <col min="8980" max="8986" width="0" style="2" hidden="1" customWidth="1"/>
    <col min="8987" max="9216" width="9" style="2"/>
    <col min="9217" max="9217" width="5" style="2" bestFit="1" customWidth="1"/>
    <col min="9218" max="9218" width="22.85546875" style="2" customWidth="1"/>
    <col min="9219" max="9219" width="15.42578125" style="2" customWidth="1"/>
    <col min="9220" max="9220" width="14.5703125" style="2" customWidth="1"/>
    <col min="9221" max="9221" width="11.28515625" style="2" customWidth="1"/>
    <col min="9222" max="9222" width="5.85546875" style="2" customWidth="1"/>
    <col min="9223" max="9223" width="11.85546875" style="2" bestFit="1" customWidth="1"/>
    <col min="9224" max="9224" width="10.42578125" style="2" customWidth="1"/>
    <col min="9225" max="9225" width="5.5703125" style="2" customWidth="1"/>
    <col min="9226" max="9226" width="7.5703125" style="2" customWidth="1"/>
    <col min="9227" max="9227" width="13.140625" style="2" bestFit="1" customWidth="1"/>
    <col min="9228" max="9229" width="7" style="2" customWidth="1"/>
    <col min="9230" max="9230" width="11.140625" style="2" customWidth="1"/>
    <col min="9231" max="9231" width="12.5703125" style="2" bestFit="1" customWidth="1"/>
    <col min="9232" max="9232" width="10.42578125" style="2" customWidth="1"/>
    <col min="9233" max="9233" width="7.42578125" style="2" customWidth="1"/>
    <col min="9234" max="9234" width="15.85546875" style="2" bestFit="1" customWidth="1"/>
    <col min="9235" max="9235" width="5.85546875" style="2" customWidth="1"/>
    <col min="9236" max="9242" width="0" style="2" hidden="1" customWidth="1"/>
    <col min="9243" max="9472" width="9" style="2"/>
    <col min="9473" max="9473" width="5" style="2" bestFit="1" customWidth="1"/>
    <col min="9474" max="9474" width="22.85546875" style="2" customWidth="1"/>
    <col min="9475" max="9475" width="15.42578125" style="2" customWidth="1"/>
    <col min="9476" max="9476" width="14.5703125" style="2" customWidth="1"/>
    <col min="9477" max="9477" width="11.28515625" style="2" customWidth="1"/>
    <col min="9478" max="9478" width="5.85546875" style="2" customWidth="1"/>
    <col min="9479" max="9479" width="11.85546875" style="2" bestFit="1" customWidth="1"/>
    <col min="9480" max="9480" width="10.42578125" style="2" customWidth="1"/>
    <col min="9481" max="9481" width="5.5703125" style="2" customWidth="1"/>
    <col min="9482" max="9482" width="7.5703125" style="2" customWidth="1"/>
    <col min="9483" max="9483" width="13.140625" style="2" bestFit="1" customWidth="1"/>
    <col min="9484" max="9485" width="7" style="2" customWidth="1"/>
    <col min="9486" max="9486" width="11.140625" style="2" customWidth="1"/>
    <col min="9487" max="9487" width="12.5703125" style="2" bestFit="1" customWidth="1"/>
    <col min="9488" max="9488" width="10.42578125" style="2" customWidth="1"/>
    <col min="9489" max="9489" width="7.42578125" style="2" customWidth="1"/>
    <col min="9490" max="9490" width="15.85546875" style="2" bestFit="1" customWidth="1"/>
    <col min="9491" max="9491" width="5.85546875" style="2" customWidth="1"/>
    <col min="9492" max="9498" width="0" style="2" hidden="1" customWidth="1"/>
    <col min="9499" max="9728" width="9" style="2"/>
    <col min="9729" max="9729" width="5" style="2" bestFit="1" customWidth="1"/>
    <col min="9730" max="9730" width="22.85546875" style="2" customWidth="1"/>
    <col min="9731" max="9731" width="15.42578125" style="2" customWidth="1"/>
    <col min="9732" max="9732" width="14.5703125" style="2" customWidth="1"/>
    <col min="9733" max="9733" width="11.28515625" style="2" customWidth="1"/>
    <col min="9734" max="9734" width="5.85546875" style="2" customWidth="1"/>
    <col min="9735" max="9735" width="11.85546875" style="2" bestFit="1" customWidth="1"/>
    <col min="9736" max="9736" width="10.42578125" style="2" customWidth="1"/>
    <col min="9737" max="9737" width="5.5703125" style="2" customWidth="1"/>
    <col min="9738" max="9738" width="7.5703125" style="2" customWidth="1"/>
    <col min="9739" max="9739" width="13.140625" style="2" bestFit="1" customWidth="1"/>
    <col min="9740" max="9741" width="7" style="2" customWidth="1"/>
    <col min="9742" max="9742" width="11.140625" style="2" customWidth="1"/>
    <col min="9743" max="9743" width="12.5703125" style="2" bestFit="1" customWidth="1"/>
    <col min="9744" max="9744" width="10.42578125" style="2" customWidth="1"/>
    <col min="9745" max="9745" width="7.42578125" style="2" customWidth="1"/>
    <col min="9746" max="9746" width="15.85546875" style="2" bestFit="1" customWidth="1"/>
    <col min="9747" max="9747" width="5.85546875" style="2" customWidth="1"/>
    <col min="9748" max="9754" width="0" style="2" hidden="1" customWidth="1"/>
    <col min="9755" max="9984" width="9" style="2"/>
    <col min="9985" max="9985" width="5" style="2" bestFit="1" customWidth="1"/>
    <col min="9986" max="9986" width="22.85546875" style="2" customWidth="1"/>
    <col min="9987" max="9987" width="15.42578125" style="2" customWidth="1"/>
    <col min="9988" max="9988" width="14.5703125" style="2" customWidth="1"/>
    <col min="9989" max="9989" width="11.28515625" style="2" customWidth="1"/>
    <col min="9990" max="9990" width="5.85546875" style="2" customWidth="1"/>
    <col min="9991" max="9991" width="11.85546875" style="2" bestFit="1" customWidth="1"/>
    <col min="9992" max="9992" width="10.42578125" style="2" customWidth="1"/>
    <col min="9993" max="9993" width="5.5703125" style="2" customWidth="1"/>
    <col min="9994" max="9994" width="7.5703125" style="2" customWidth="1"/>
    <col min="9995" max="9995" width="13.140625" style="2" bestFit="1" customWidth="1"/>
    <col min="9996" max="9997" width="7" style="2" customWidth="1"/>
    <col min="9998" max="9998" width="11.140625" style="2" customWidth="1"/>
    <col min="9999" max="9999" width="12.5703125" style="2" bestFit="1" customWidth="1"/>
    <col min="10000" max="10000" width="10.42578125" style="2" customWidth="1"/>
    <col min="10001" max="10001" width="7.42578125" style="2" customWidth="1"/>
    <col min="10002" max="10002" width="15.85546875" style="2" bestFit="1" customWidth="1"/>
    <col min="10003" max="10003" width="5.85546875" style="2" customWidth="1"/>
    <col min="10004" max="10010" width="0" style="2" hidden="1" customWidth="1"/>
    <col min="10011" max="10240" width="9" style="2"/>
    <col min="10241" max="10241" width="5" style="2" bestFit="1" customWidth="1"/>
    <col min="10242" max="10242" width="22.85546875" style="2" customWidth="1"/>
    <col min="10243" max="10243" width="15.42578125" style="2" customWidth="1"/>
    <col min="10244" max="10244" width="14.5703125" style="2" customWidth="1"/>
    <col min="10245" max="10245" width="11.28515625" style="2" customWidth="1"/>
    <col min="10246" max="10246" width="5.85546875" style="2" customWidth="1"/>
    <col min="10247" max="10247" width="11.85546875" style="2" bestFit="1" customWidth="1"/>
    <col min="10248" max="10248" width="10.42578125" style="2" customWidth="1"/>
    <col min="10249" max="10249" width="5.5703125" style="2" customWidth="1"/>
    <col min="10250" max="10250" width="7.5703125" style="2" customWidth="1"/>
    <col min="10251" max="10251" width="13.140625" style="2" bestFit="1" customWidth="1"/>
    <col min="10252" max="10253" width="7" style="2" customWidth="1"/>
    <col min="10254" max="10254" width="11.140625" style="2" customWidth="1"/>
    <col min="10255" max="10255" width="12.5703125" style="2" bestFit="1" customWidth="1"/>
    <col min="10256" max="10256" width="10.42578125" style="2" customWidth="1"/>
    <col min="10257" max="10257" width="7.42578125" style="2" customWidth="1"/>
    <col min="10258" max="10258" width="15.85546875" style="2" bestFit="1" customWidth="1"/>
    <col min="10259" max="10259" width="5.85546875" style="2" customWidth="1"/>
    <col min="10260" max="10266" width="0" style="2" hidden="1" customWidth="1"/>
    <col min="10267" max="10496" width="9" style="2"/>
    <col min="10497" max="10497" width="5" style="2" bestFit="1" customWidth="1"/>
    <col min="10498" max="10498" width="22.85546875" style="2" customWidth="1"/>
    <col min="10499" max="10499" width="15.42578125" style="2" customWidth="1"/>
    <col min="10500" max="10500" width="14.5703125" style="2" customWidth="1"/>
    <col min="10501" max="10501" width="11.28515625" style="2" customWidth="1"/>
    <col min="10502" max="10502" width="5.85546875" style="2" customWidth="1"/>
    <col min="10503" max="10503" width="11.85546875" style="2" bestFit="1" customWidth="1"/>
    <col min="10504" max="10504" width="10.42578125" style="2" customWidth="1"/>
    <col min="10505" max="10505" width="5.5703125" style="2" customWidth="1"/>
    <col min="10506" max="10506" width="7.5703125" style="2" customWidth="1"/>
    <col min="10507" max="10507" width="13.140625" style="2" bestFit="1" customWidth="1"/>
    <col min="10508" max="10509" width="7" style="2" customWidth="1"/>
    <col min="10510" max="10510" width="11.140625" style="2" customWidth="1"/>
    <col min="10511" max="10511" width="12.5703125" style="2" bestFit="1" customWidth="1"/>
    <col min="10512" max="10512" width="10.42578125" style="2" customWidth="1"/>
    <col min="10513" max="10513" width="7.42578125" style="2" customWidth="1"/>
    <col min="10514" max="10514" width="15.85546875" style="2" bestFit="1" customWidth="1"/>
    <col min="10515" max="10515" width="5.85546875" style="2" customWidth="1"/>
    <col min="10516" max="10522" width="0" style="2" hidden="1" customWidth="1"/>
    <col min="10523" max="10752" width="9" style="2"/>
    <col min="10753" max="10753" width="5" style="2" bestFit="1" customWidth="1"/>
    <col min="10754" max="10754" width="22.85546875" style="2" customWidth="1"/>
    <col min="10755" max="10755" width="15.42578125" style="2" customWidth="1"/>
    <col min="10756" max="10756" width="14.5703125" style="2" customWidth="1"/>
    <col min="10757" max="10757" width="11.28515625" style="2" customWidth="1"/>
    <col min="10758" max="10758" width="5.85546875" style="2" customWidth="1"/>
    <col min="10759" max="10759" width="11.85546875" style="2" bestFit="1" customWidth="1"/>
    <col min="10760" max="10760" width="10.42578125" style="2" customWidth="1"/>
    <col min="10761" max="10761" width="5.5703125" style="2" customWidth="1"/>
    <col min="10762" max="10762" width="7.5703125" style="2" customWidth="1"/>
    <col min="10763" max="10763" width="13.140625" style="2" bestFit="1" customWidth="1"/>
    <col min="10764" max="10765" width="7" style="2" customWidth="1"/>
    <col min="10766" max="10766" width="11.140625" style="2" customWidth="1"/>
    <col min="10767" max="10767" width="12.5703125" style="2" bestFit="1" customWidth="1"/>
    <col min="10768" max="10768" width="10.42578125" style="2" customWidth="1"/>
    <col min="10769" max="10769" width="7.42578125" style="2" customWidth="1"/>
    <col min="10770" max="10770" width="15.85546875" style="2" bestFit="1" customWidth="1"/>
    <col min="10771" max="10771" width="5.85546875" style="2" customWidth="1"/>
    <col min="10772" max="10778" width="0" style="2" hidden="1" customWidth="1"/>
    <col min="10779" max="11008" width="9" style="2"/>
    <col min="11009" max="11009" width="5" style="2" bestFit="1" customWidth="1"/>
    <col min="11010" max="11010" width="22.85546875" style="2" customWidth="1"/>
    <col min="11011" max="11011" width="15.42578125" style="2" customWidth="1"/>
    <col min="11012" max="11012" width="14.5703125" style="2" customWidth="1"/>
    <col min="11013" max="11013" width="11.28515625" style="2" customWidth="1"/>
    <col min="11014" max="11014" width="5.85546875" style="2" customWidth="1"/>
    <col min="11015" max="11015" width="11.85546875" style="2" bestFit="1" customWidth="1"/>
    <col min="11016" max="11016" width="10.42578125" style="2" customWidth="1"/>
    <col min="11017" max="11017" width="5.5703125" style="2" customWidth="1"/>
    <col min="11018" max="11018" width="7.5703125" style="2" customWidth="1"/>
    <col min="11019" max="11019" width="13.140625" style="2" bestFit="1" customWidth="1"/>
    <col min="11020" max="11021" width="7" style="2" customWidth="1"/>
    <col min="11022" max="11022" width="11.140625" style="2" customWidth="1"/>
    <col min="11023" max="11023" width="12.5703125" style="2" bestFit="1" customWidth="1"/>
    <col min="11024" max="11024" width="10.42578125" style="2" customWidth="1"/>
    <col min="11025" max="11025" width="7.42578125" style="2" customWidth="1"/>
    <col min="11026" max="11026" width="15.85546875" style="2" bestFit="1" customWidth="1"/>
    <col min="11027" max="11027" width="5.85546875" style="2" customWidth="1"/>
    <col min="11028" max="11034" width="0" style="2" hidden="1" customWidth="1"/>
    <col min="11035" max="11264" width="9" style="2"/>
    <col min="11265" max="11265" width="5" style="2" bestFit="1" customWidth="1"/>
    <col min="11266" max="11266" width="22.85546875" style="2" customWidth="1"/>
    <col min="11267" max="11267" width="15.42578125" style="2" customWidth="1"/>
    <col min="11268" max="11268" width="14.5703125" style="2" customWidth="1"/>
    <col min="11269" max="11269" width="11.28515625" style="2" customWidth="1"/>
    <col min="11270" max="11270" width="5.85546875" style="2" customWidth="1"/>
    <col min="11271" max="11271" width="11.85546875" style="2" bestFit="1" customWidth="1"/>
    <col min="11272" max="11272" width="10.42578125" style="2" customWidth="1"/>
    <col min="11273" max="11273" width="5.5703125" style="2" customWidth="1"/>
    <col min="11274" max="11274" width="7.5703125" style="2" customWidth="1"/>
    <col min="11275" max="11275" width="13.140625" style="2" bestFit="1" customWidth="1"/>
    <col min="11276" max="11277" width="7" style="2" customWidth="1"/>
    <col min="11278" max="11278" width="11.140625" style="2" customWidth="1"/>
    <col min="11279" max="11279" width="12.5703125" style="2" bestFit="1" customWidth="1"/>
    <col min="11280" max="11280" width="10.42578125" style="2" customWidth="1"/>
    <col min="11281" max="11281" width="7.42578125" style="2" customWidth="1"/>
    <col min="11282" max="11282" width="15.85546875" style="2" bestFit="1" customWidth="1"/>
    <col min="11283" max="11283" width="5.85546875" style="2" customWidth="1"/>
    <col min="11284" max="11290" width="0" style="2" hidden="1" customWidth="1"/>
    <col min="11291" max="11520" width="9" style="2"/>
    <col min="11521" max="11521" width="5" style="2" bestFit="1" customWidth="1"/>
    <col min="11522" max="11522" width="22.85546875" style="2" customWidth="1"/>
    <col min="11523" max="11523" width="15.42578125" style="2" customWidth="1"/>
    <col min="11524" max="11524" width="14.5703125" style="2" customWidth="1"/>
    <col min="11525" max="11525" width="11.28515625" style="2" customWidth="1"/>
    <col min="11526" max="11526" width="5.85546875" style="2" customWidth="1"/>
    <col min="11527" max="11527" width="11.85546875" style="2" bestFit="1" customWidth="1"/>
    <col min="11528" max="11528" width="10.42578125" style="2" customWidth="1"/>
    <col min="11529" max="11529" width="5.5703125" style="2" customWidth="1"/>
    <col min="11530" max="11530" width="7.5703125" style="2" customWidth="1"/>
    <col min="11531" max="11531" width="13.140625" style="2" bestFit="1" customWidth="1"/>
    <col min="11532" max="11533" width="7" style="2" customWidth="1"/>
    <col min="11534" max="11534" width="11.140625" style="2" customWidth="1"/>
    <col min="11535" max="11535" width="12.5703125" style="2" bestFit="1" customWidth="1"/>
    <col min="11536" max="11536" width="10.42578125" style="2" customWidth="1"/>
    <col min="11537" max="11537" width="7.42578125" style="2" customWidth="1"/>
    <col min="11538" max="11538" width="15.85546875" style="2" bestFit="1" customWidth="1"/>
    <col min="11539" max="11539" width="5.85546875" style="2" customWidth="1"/>
    <col min="11540" max="11546" width="0" style="2" hidden="1" customWidth="1"/>
    <col min="11547" max="11776" width="9" style="2"/>
    <col min="11777" max="11777" width="5" style="2" bestFit="1" customWidth="1"/>
    <col min="11778" max="11778" width="22.85546875" style="2" customWidth="1"/>
    <col min="11779" max="11779" width="15.42578125" style="2" customWidth="1"/>
    <col min="11780" max="11780" width="14.5703125" style="2" customWidth="1"/>
    <col min="11781" max="11781" width="11.28515625" style="2" customWidth="1"/>
    <col min="11782" max="11782" width="5.85546875" style="2" customWidth="1"/>
    <col min="11783" max="11783" width="11.85546875" style="2" bestFit="1" customWidth="1"/>
    <col min="11784" max="11784" width="10.42578125" style="2" customWidth="1"/>
    <col min="11785" max="11785" width="5.5703125" style="2" customWidth="1"/>
    <col min="11786" max="11786" width="7.5703125" style="2" customWidth="1"/>
    <col min="11787" max="11787" width="13.140625" style="2" bestFit="1" customWidth="1"/>
    <col min="11788" max="11789" width="7" style="2" customWidth="1"/>
    <col min="11790" max="11790" width="11.140625" style="2" customWidth="1"/>
    <col min="11791" max="11791" width="12.5703125" style="2" bestFit="1" customWidth="1"/>
    <col min="11792" max="11792" width="10.42578125" style="2" customWidth="1"/>
    <col min="11793" max="11793" width="7.42578125" style="2" customWidth="1"/>
    <col min="11794" max="11794" width="15.85546875" style="2" bestFit="1" customWidth="1"/>
    <col min="11795" max="11795" width="5.85546875" style="2" customWidth="1"/>
    <col min="11796" max="11802" width="0" style="2" hidden="1" customWidth="1"/>
    <col min="11803" max="12032" width="9" style="2"/>
    <col min="12033" max="12033" width="5" style="2" bestFit="1" customWidth="1"/>
    <col min="12034" max="12034" width="22.85546875" style="2" customWidth="1"/>
    <col min="12035" max="12035" width="15.42578125" style="2" customWidth="1"/>
    <col min="12036" max="12036" width="14.5703125" style="2" customWidth="1"/>
    <col min="12037" max="12037" width="11.28515625" style="2" customWidth="1"/>
    <col min="12038" max="12038" width="5.85546875" style="2" customWidth="1"/>
    <col min="12039" max="12039" width="11.85546875" style="2" bestFit="1" customWidth="1"/>
    <col min="12040" max="12040" width="10.42578125" style="2" customWidth="1"/>
    <col min="12041" max="12041" width="5.5703125" style="2" customWidth="1"/>
    <col min="12042" max="12042" width="7.5703125" style="2" customWidth="1"/>
    <col min="12043" max="12043" width="13.140625" style="2" bestFit="1" customWidth="1"/>
    <col min="12044" max="12045" width="7" style="2" customWidth="1"/>
    <col min="12046" max="12046" width="11.140625" style="2" customWidth="1"/>
    <col min="12047" max="12047" width="12.5703125" style="2" bestFit="1" customWidth="1"/>
    <col min="12048" max="12048" width="10.42578125" style="2" customWidth="1"/>
    <col min="12049" max="12049" width="7.42578125" style="2" customWidth="1"/>
    <col min="12050" max="12050" width="15.85546875" style="2" bestFit="1" customWidth="1"/>
    <col min="12051" max="12051" width="5.85546875" style="2" customWidth="1"/>
    <col min="12052" max="12058" width="0" style="2" hidden="1" customWidth="1"/>
    <col min="12059" max="12288" width="9" style="2"/>
    <col min="12289" max="12289" width="5" style="2" bestFit="1" customWidth="1"/>
    <col min="12290" max="12290" width="22.85546875" style="2" customWidth="1"/>
    <col min="12291" max="12291" width="15.42578125" style="2" customWidth="1"/>
    <col min="12292" max="12292" width="14.5703125" style="2" customWidth="1"/>
    <col min="12293" max="12293" width="11.28515625" style="2" customWidth="1"/>
    <col min="12294" max="12294" width="5.85546875" style="2" customWidth="1"/>
    <col min="12295" max="12295" width="11.85546875" style="2" bestFit="1" customWidth="1"/>
    <col min="12296" max="12296" width="10.42578125" style="2" customWidth="1"/>
    <col min="12297" max="12297" width="5.5703125" style="2" customWidth="1"/>
    <col min="12298" max="12298" width="7.5703125" style="2" customWidth="1"/>
    <col min="12299" max="12299" width="13.140625" style="2" bestFit="1" customWidth="1"/>
    <col min="12300" max="12301" width="7" style="2" customWidth="1"/>
    <col min="12302" max="12302" width="11.140625" style="2" customWidth="1"/>
    <col min="12303" max="12303" width="12.5703125" style="2" bestFit="1" customWidth="1"/>
    <col min="12304" max="12304" width="10.42578125" style="2" customWidth="1"/>
    <col min="12305" max="12305" width="7.42578125" style="2" customWidth="1"/>
    <col min="12306" max="12306" width="15.85546875" style="2" bestFit="1" customWidth="1"/>
    <col min="12307" max="12307" width="5.85546875" style="2" customWidth="1"/>
    <col min="12308" max="12314" width="0" style="2" hidden="1" customWidth="1"/>
    <col min="12315" max="12544" width="9" style="2"/>
    <col min="12545" max="12545" width="5" style="2" bestFit="1" customWidth="1"/>
    <col min="12546" max="12546" width="22.85546875" style="2" customWidth="1"/>
    <col min="12547" max="12547" width="15.42578125" style="2" customWidth="1"/>
    <col min="12548" max="12548" width="14.5703125" style="2" customWidth="1"/>
    <col min="12549" max="12549" width="11.28515625" style="2" customWidth="1"/>
    <col min="12550" max="12550" width="5.85546875" style="2" customWidth="1"/>
    <col min="12551" max="12551" width="11.85546875" style="2" bestFit="1" customWidth="1"/>
    <col min="12552" max="12552" width="10.42578125" style="2" customWidth="1"/>
    <col min="12553" max="12553" width="5.5703125" style="2" customWidth="1"/>
    <col min="12554" max="12554" width="7.5703125" style="2" customWidth="1"/>
    <col min="12555" max="12555" width="13.140625" style="2" bestFit="1" customWidth="1"/>
    <col min="12556" max="12557" width="7" style="2" customWidth="1"/>
    <col min="12558" max="12558" width="11.140625" style="2" customWidth="1"/>
    <col min="12559" max="12559" width="12.5703125" style="2" bestFit="1" customWidth="1"/>
    <col min="12560" max="12560" width="10.42578125" style="2" customWidth="1"/>
    <col min="12561" max="12561" width="7.42578125" style="2" customWidth="1"/>
    <col min="12562" max="12562" width="15.85546875" style="2" bestFit="1" customWidth="1"/>
    <col min="12563" max="12563" width="5.85546875" style="2" customWidth="1"/>
    <col min="12564" max="12570" width="0" style="2" hidden="1" customWidth="1"/>
    <col min="12571" max="12800" width="9" style="2"/>
    <col min="12801" max="12801" width="5" style="2" bestFit="1" customWidth="1"/>
    <col min="12802" max="12802" width="22.85546875" style="2" customWidth="1"/>
    <col min="12803" max="12803" width="15.42578125" style="2" customWidth="1"/>
    <col min="12804" max="12804" width="14.5703125" style="2" customWidth="1"/>
    <col min="12805" max="12805" width="11.28515625" style="2" customWidth="1"/>
    <col min="12806" max="12806" width="5.85546875" style="2" customWidth="1"/>
    <col min="12807" max="12807" width="11.85546875" style="2" bestFit="1" customWidth="1"/>
    <col min="12808" max="12808" width="10.42578125" style="2" customWidth="1"/>
    <col min="12809" max="12809" width="5.5703125" style="2" customWidth="1"/>
    <col min="12810" max="12810" width="7.5703125" style="2" customWidth="1"/>
    <col min="12811" max="12811" width="13.140625" style="2" bestFit="1" customWidth="1"/>
    <col min="12812" max="12813" width="7" style="2" customWidth="1"/>
    <col min="12814" max="12814" width="11.140625" style="2" customWidth="1"/>
    <col min="12815" max="12815" width="12.5703125" style="2" bestFit="1" customWidth="1"/>
    <col min="12816" max="12816" width="10.42578125" style="2" customWidth="1"/>
    <col min="12817" max="12817" width="7.42578125" style="2" customWidth="1"/>
    <col min="12818" max="12818" width="15.85546875" style="2" bestFit="1" customWidth="1"/>
    <col min="12819" max="12819" width="5.85546875" style="2" customWidth="1"/>
    <col min="12820" max="12826" width="0" style="2" hidden="1" customWidth="1"/>
    <col min="12827" max="13056" width="9" style="2"/>
    <col min="13057" max="13057" width="5" style="2" bestFit="1" customWidth="1"/>
    <col min="13058" max="13058" width="22.85546875" style="2" customWidth="1"/>
    <col min="13059" max="13059" width="15.42578125" style="2" customWidth="1"/>
    <col min="13060" max="13060" width="14.5703125" style="2" customWidth="1"/>
    <col min="13061" max="13061" width="11.28515625" style="2" customWidth="1"/>
    <col min="13062" max="13062" width="5.85546875" style="2" customWidth="1"/>
    <col min="13063" max="13063" width="11.85546875" style="2" bestFit="1" customWidth="1"/>
    <col min="13064" max="13064" width="10.42578125" style="2" customWidth="1"/>
    <col min="13065" max="13065" width="5.5703125" style="2" customWidth="1"/>
    <col min="13066" max="13066" width="7.5703125" style="2" customWidth="1"/>
    <col min="13067" max="13067" width="13.140625" style="2" bestFit="1" customWidth="1"/>
    <col min="13068" max="13069" width="7" style="2" customWidth="1"/>
    <col min="13070" max="13070" width="11.140625" style="2" customWidth="1"/>
    <col min="13071" max="13071" width="12.5703125" style="2" bestFit="1" customWidth="1"/>
    <col min="13072" max="13072" width="10.42578125" style="2" customWidth="1"/>
    <col min="13073" max="13073" width="7.42578125" style="2" customWidth="1"/>
    <col min="13074" max="13074" width="15.85546875" style="2" bestFit="1" customWidth="1"/>
    <col min="13075" max="13075" width="5.85546875" style="2" customWidth="1"/>
    <col min="13076" max="13082" width="0" style="2" hidden="1" customWidth="1"/>
    <col min="13083" max="13312" width="9" style="2"/>
    <col min="13313" max="13313" width="5" style="2" bestFit="1" customWidth="1"/>
    <col min="13314" max="13314" width="22.85546875" style="2" customWidth="1"/>
    <col min="13315" max="13315" width="15.42578125" style="2" customWidth="1"/>
    <col min="13316" max="13316" width="14.5703125" style="2" customWidth="1"/>
    <col min="13317" max="13317" width="11.28515625" style="2" customWidth="1"/>
    <col min="13318" max="13318" width="5.85546875" style="2" customWidth="1"/>
    <col min="13319" max="13319" width="11.85546875" style="2" bestFit="1" customWidth="1"/>
    <col min="13320" max="13320" width="10.42578125" style="2" customWidth="1"/>
    <col min="13321" max="13321" width="5.5703125" style="2" customWidth="1"/>
    <col min="13322" max="13322" width="7.5703125" style="2" customWidth="1"/>
    <col min="13323" max="13323" width="13.140625" style="2" bestFit="1" customWidth="1"/>
    <col min="13324" max="13325" width="7" style="2" customWidth="1"/>
    <col min="13326" max="13326" width="11.140625" style="2" customWidth="1"/>
    <col min="13327" max="13327" width="12.5703125" style="2" bestFit="1" customWidth="1"/>
    <col min="13328" max="13328" width="10.42578125" style="2" customWidth="1"/>
    <col min="13329" max="13329" width="7.42578125" style="2" customWidth="1"/>
    <col min="13330" max="13330" width="15.85546875" style="2" bestFit="1" customWidth="1"/>
    <col min="13331" max="13331" width="5.85546875" style="2" customWidth="1"/>
    <col min="13332" max="13338" width="0" style="2" hidden="1" customWidth="1"/>
    <col min="13339" max="13568" width="9" style="2"/>
    <col min="13569" max="13569" width="5" style="2" bestFit="1" customWidth="1"/>
    <col min="13570" max="13570" width="22.85546875" style="2" customWidth="1"/>
    <col min="13571" max="13571" width="15.42578125" style="2" customWidth="1"/>
    <col min="13572" max="13572" width="14.5703125" style="2" customWidth="1"/>
    <col min="13573" max="13573" width="11.28515625" style="2" customWidth="1"/>
    <col min="13574" max="13574" width="5.85546875" style="2" customWidth="1"/>
    <col min="13575" max="13575" width="11.85546875" style="2" bestFit="1" customWidth="1"/>
    <col min="13576" max="13576" width="10.42578125" style="2" customWidth="1"/>
    <col min="13577" max="13577" width="5.5703125" style="2" customWidth="1"/>
    <col min="13578" max="13578" width="7.5703125" style="2" customWidth="1"/>
    <col min="13579" max="13579" width="13.140625" style="2" bestFit="1" customWidth="1"/>
    <col min="13580" max="13581" width="7" style="2" customWidth="1"/>
    <col min="13582" max="13582" width="11.140625" style="2" customWidth="1"/>
    <col min="13583" max="13583" width="12.5703125" style="2" bestFit="1" customWidth="1"/>
    <col min="13584" max="13584" width="10.42578125" style="2" customWidth="1"/>
    <col min="13585" max="13585" width="7.42578125" style="2" customWidth="1"/>
    <col min="13586" max="13586" width="15.85546875" style="2" bestFit="1" customWidth="1"/>
    <col min="13587" max="13587" width="5.85546875" style="2" customWidth="1"/>
    <col min="13588" max="13594" width="0" style="2" hidden="1" customWidth="1"/>
    <col min="13595" max="13824" width="9" style="2"/>
    <col min="13825" max="13825" width="5" style="2" bestFit="1" customWidth="1"/>
    <col min="13826" max="13826" width="22.85546875" style="2" customWidth="1"/>
    <col min="13827" max="13827" width="15.42578125" style="2" customWidth="1"/>
    <col min="13828" max="13828" width="14.5703125" style="2" customWidth="1"/>
    <col min="13829" max="13829" width="11.28515625" style="2" customWidth="1"/>
    <col min="13830" max="13830" width="5.85546875" style="2" customWidth="1"/>
    <col min="13831" max="13831" width="11.85546875" style="2" bestFit="1" customWidth="1"/>
    <col min="13832" max="13832" width="10.42578125" style="2" customWidth="1"/>
    <col min="13833" max="13833" width="5.5703125" style="2" customWidth="1"/>
    <col min="13834" max="13834" width="7.5703125" style="2" customWidth="1"/>
    <col min="13835" max="13835" width="13.140625" style="2" bestFit="1" customWidth="1"/>
    <col min="13836" max="13837" width="7" style="2" customWidth="1"/>
    <col min="13838" max="13838" width="11.140625" style="2" customWidth="1"/>
    <col min="13839" max="13839" width="12.5703125" style="2" bestFit="1" customWidth="1"/>
    <col min="13840" max="13840" width="10.42578125" style="2" customWidth="1"/>
    <col min="13841" max="13841" width="7.42578125" style="2" customWidth="1"/>
    <col min="13842" max="13842" width="15.85546875" style="2" bestFit="1" customWidth="1"/>
    <col min="13843" max="13843" width="5.85546875" style="2" customWidth="1"/>
    <col min="13844" max="13850" width="0" style="2" hidden="1" customWidth="1"/>
    <col min="13851" max="14080" width="9" style="2"/>
    <col min="14081" max="14081" width="5" style="2" bestFit="1" customWidth="1"/>
    <col min="14082" max="14082" width="22.85546875" style="2" customWidth="1"/>
    <col min="14083" max="14083" width="15.42578125" style="2" customWidth="1"/>
    <col min="14084" max="14084" width="14.5703125" style="2" customWidth="1"/>
    <col min="14085" max="14085" width="11.28515625" style="2" customWidth="1"/>
    <col min="14086" max="14086" width="5.85546875" style="2" customWidth="1"/>
    <col min="14087" max="14087" width="11.85546875" style="2" bestFit="1" customWidth="1"/>
    <col min="14088" max="14088" width="10.42578125" style="2" customWidth="1"/>
    <col min="14089" max="14089" width="5.5703125" style="2" customWidth="1"/>
    <col min="14090" max="14090" width="7.5703125" style="2" customWidth="1"/>
    <col min="14091" max="14091" width="13.140625" style="2" bestFit="1" customWidth="1"/>
    <col min="14092" max="14093" width="7" style="2" customWidth="1"/>
    <col min="14094" max="14094" width="11.140625" style="2" customWidth="1"/>
    <col min="14095" max="14095" width="12.5703125" style="2" bestFit="1" customWidth="1"/>
    <col min="14096" max="14096" width="10.42578125" style="2" customWidth="1"/>
    <col min="14097" max="14097" width="7.42578125" style="2" customWidth="1"/>
    <col min="14098" max="14098" width="15.85546875" style="2" bestFit="1" customWidth="1"/>
    <col min="14099" max="14099" width="5.85546875" style="2" customWidth="1"/>
    <col min="14100" max="14106" width="0" style="2" hidden="1" customWidth="1"/>
    <col min="14107" max="14336" width="9" style="2"/>
    <col min="14337" max="14337" width="5" style="2" bestFit="1" customWidth="1"/>
    <col min="14338" max="14338" width="22.85546875" style="2" customWidth="1"/>
    <col min="14339" max="14339" width="15.42578125" style="2" customWidth="1"/>
    <col min="14340" max="14340" width="14.5703125" style="2" customWidth="1"/>
    <col min="14341" max="14341" width="11.28515625" style="2" customWidth="1"/>
    <col min="14342" max="14342" width="5.85546875" style="2" customWidth="1"/>
    <col min="14343" max="14343" width="11.85546875" style="2" bestFit="1" customWidth="1"/>
    <col min="14344" max="14344" width="10.42578125" style="2" customWidth="1"/>
    <col min="14345" max="14345" width="5.5703125" style="2" customWidth="1"/>
    <col min="14346" max="14346" width="7.5703125" style="2" customWidth="1"/>
    <col min="14347" max="14347" width="13.140625" style="2" bestFit="1" customWidth="1"/>
    <col min="14348" max="14349" width="7" style="2" customWidth="1"/>
    <col min="14350" max="14350" width="11.140625" style="2" customWidth="1"/>
    <col min="14351" max="14351" width="12.5703125" style="2" bestFit="1" customWidth="1"/>
    <col min="14352" max="14352" width="10.42578125" style="2" customWidth="1"/>
    <col min="14353" max="14353" width="7.42578125" style="2" customWidth="1"/>
    <col min="14354" max="14354" width="15.85546875" style="2" bestFit="1" customWidth="1"/>
    <col min="14355" max="14355" width="5.85546875" style="2" customWidth="1"/>
    <col min="14356" max="14362" width="0" style="2" hidden="1" customWidth="1"/>
    <col min="14363" max="14592" width="9" style="2"/>
    <col min="14593" max="14593" width="5" style="2" bestFit="1" customWidth="1"/>
    <col min="14594" max="14594" width="22.85546875" style="2" customWidth="1"/>
    <col min="14595" max="14595" width="15.42578125" style="2" customWidth="1"/>
    <col min="14596" max="14596" width="14.5703125" style="2" customWidth="1"/>
    <col min="14597" max="14597" width="11.28515625" style="2" customWidth="1"/>
    <col min="14598" max="14598" width="5.85546875" style="2" customWidth="1"/>
    <col min="14599" max="14599" width="11.85546875" style="2" bestFit="1" customWidth="1"/>
    <col min="14600" max="14600" width="10.42578125" style="2" customWidth="1"/>
    <col min="14601" max="14601" width="5.5703125" style="2" customWidth="1"/>
    <col min="14602" max="14602" width="7.5703125" style="2" customWidth="1"/>
    <col min="14603" max="14603" width="13.140625" style="2" bestFit="1" customWidth="1"/>
    <col min="14604" max="14605" width="7" style="2" customWidth="1"/>
    <col min="14606" max="14606" width="11.140625" style="2" customWidth="1"/>
    <col min="14607" max="14607" width="12.5703125" style="2" bestFit="1" customWidth="1"/>
    <col min="14608" max="14608" width="10.42578125" style="2" customWidth="1"/>
    <col min="14609" max="14609" width="7.42578125" style="2" customWidth="1"/>
    <col min="14610" max="14610" width="15.85546875" style="2" bestFit="1" customWidth="1"/>
    <col min="14611" max="14611" width="5.85546875" style="2" customWidth="1"/>
    <col min="14612" max="14618" width="0" style="2" hidden="1" customWidth="1"/>
    <col min="14619" max="14848" width="9" style="2"/>
    <col min="14849" max="14849" width="5" style="2" bestFit="1" customWidth="1"/>
    <col min="14850" max="14850" width="22.85546875" style="2" customWidth="1"/>
    <col min="14851" max="14851" width="15.42578125" style="2" customWidth="1"/>
    <col min="14852" max="14852" width="14.5703125" style="2" customWidth="1"/>
    <col min="14853" max="14853" width="11.28515625" style="2" customWidth="1"/>
    <col min="14854" max="14854" width="5.85546875" style="2" customWidth="1"/>
    <col min="14855" max="14855" width="11.85546875" style="2" bestFit="1" customWidth="1"/>
    <col min="14856" max="14856" width="10.42578125" style="2" customWidth="1"/>
    <col min="14857" max="14857" width="5.5703125" style="2" customWidth="1"/>
    <col min="14858" max="14858" width="7.5703125" style="2" customWidth="1"/>
    <col min="14859" max="14859" width="13.140625" style="2" bestFit="1" customWidth="1"/>
    <col min="14860" max="14861" width="7" style="2" customWidth="1"/>
    <col min="14862" max="14862" width="11.140625" style="2" customWidth="1"/>
    <col min="14863" max="14863" width="12.5703125" style="2" bestFit="1" customWidth="1"/>
    <col min="14864" max="14864" width="10.42578125" style="2" customWidth="1"/>
    <col min="14865" max="14865" width="7.42578125" style="2" customWidth="1"/>
    <col min="14866" max="14866" width="15.85546875" style="2" bestFit="1" customWidth="1"/>
    <col min="14867" max="14867" width="5.85546875" style="2" customWidth="1"/>
    <col min="14868" max="14874" width="0" style="2" hidden="1" customWidth="1"/>
    <col min="14875" max="15104" width="9" style="2"/>
    <col min="15105" max="15105" width="5" style="2" bestFit="1" customWidth="1"/>
    <col min="15106" max="15106" width="22.85546875" style="2" customWidth="1"/>
    <col min="15107" max="15107" width="15.42578125" style="2" customWidth="1"/>
    <col min="15108" max="15108" width="14.5703125" style="2" customWidth="1"/>
    <col min="15109" max="15109" width="11.28515625" style="2" customWidth="1"/>
    <col min="15110" max="15110" width="5.85546875" style="2" customWidth="1"/>
    <col min="15111" max="15111" width="11.85546875" style="2" bestFit="1" customWidth="1"/>
    <col min="15112" max="15112" width="10.42578125" style="2" customWidth="1"/>
    <col min="15113" max="15113" width="5.5703125" style="2" customWidth="1"/>
    <col min="15114" max="15114" width="7.5703125" style="2" customWidth="1"/>
    <col min="15115" max="15115" width="13.140625" style="2" bestFit="1" customWidth="1"/>
    <col min="15116" max="15117" width="7" style="2" customWidth="1"/>
    <col min="15118" max="15118" width="11.140625" style="2" customWidth="1"/>
    <col min="15119" max="15119" width="12.5703125" style="2" bestFit="1" customWidth="1"/>
    <col min="15120" max="15120" width="10.42578125" style="2" customWidth="1"/>
    <col min="15121" max="15121" width="7.42578125" style="2" customWidth="1"/>
    <col min="15122" max="15122" width="15.85546875" style="2" bestFit="1" customWidth="1"/>
    <col min="15123" max="15123" width="5.85546875" style="2" customWidth="1"/>
    <col min="15124" max="15130" width="0" style="2" hidden="1" customWidth="1"/>
    <col min="15131" max="15360" width="9" style="2"/>
    <col min="15361" max="15361" width="5" style="2" bestFit="1" customWidth="1"/>
    <col min="15362" max="15362" width="22.85546875" style="2" customWidth="1"/>
    <col min="15363" max="15363" width="15.42578125" style="2" customWidth="1"/>
    <col min="15364" max="15364" width="14.5703125" style="2" customWidth="1"/>
    <col min="15365" max="15365" width="11.28515625" style="2" customWidth="1"/>
    <col min="15366" max="15366" width="5.85546875" style="2" customWidth="1"/>
    <col min="15367" max="15367" width="11.85546875" style="2" bestFit="1" customWidth="1"/>
    <col min="15368" max="15368" width="10.42578125" style="2" customWidth="1"/>
    <col min="15369" max="15369" width="5.5703125" style="2" customWidth="1"/>
    <col min="15370" max="15370" width="7.5703125" style="2" customWidth="1"/>
    <col min="15371" max="15371" width="13.140625" style="2" bestFit="1" customWidth="1"/>
    <col min="15372" max="15373" width="7" style="2" customWidth="1"/>
    <col min="15374" max="15374" width="11.140625" style="2" customWidth="1"/>
    <col min="15375" max="15375" width="12.5703125" style="2" bestFit="1" customWidth="1"/>
    <col min="15376" max="15376" width="10.42578125" style="2" customWidth="1"/>
    <col min="15377" max="15377" width="7.42578125" style="2" customWidth="1"/>
    <col min="15378" max="15378" width="15.85546875" style="2" bestFit="1" customWidth="1"/>
    <col min="15379" max="15379" width="5.85546875" style="2" customWidth="1"/>
    <col min="15380" max="15386" width="0" style="2" hidden="1" customWidth="1"/>
    <col min="15387" max="15616" width="9" style="2"/>
    <col min="15617" max="15617" width="5" style="2" bestFit="1" customWidth="1"/>
    <col min="15618" max="15618" width="22.85546875" style="2" customWidth="1"/>
    <col min="15619" max="15619" width="15.42578125" style="2" customWidth="1"/>
    <col min="15620" max="15620" width="14.5703125" style="2" customWidth="1"/>
    <col min="15621" max="15621" width="11.28515625" style="2" customWidth="1"/>
    <col min="15622" max="15622" width="5.85546875" style="2" customWidth="1"/>
    <col min="15623" max="15623" width="11.85546875" style="2" bestFit="1" customWidth="1"/>
    <col min="15624" max="15624" width="10.42578125" style="2" customWidth="1"/>
    <col min="15625" max="15625" width="5.5703125" style="2" customWidth="1"/>
    <col min="15626" max="15626" width="7.5703125" style="2" customWidth="1"/>
    <col min="15627" max="15627" width="13.140625" style="2" bestFit="1" customWidth="1"/>
    <col min="15628" max="15629" width="7" style="2" customWidth="1"/>
    <col min="15630" max="15630" width="11.140625" style="2" customWidth="1"/>
    <col min="15631" max="15631" width="12.5703125" style="2" bestFit="1" customWidth="1"/>
    <col min="15632" max="15632" width="10.42578125" style="2" customWidth="1"/>
    <col min="15633" max="15633" width="7.42578125" style="2" customWidth="1"/>
    <col min="15634" max="15634" width="15.85546875" style="2" bestFit="1" customWidth="1"/>
    <col min="15635" max="15635" width="5.85546875" style="2" customWidth="1"/>
    <col min="15636" max="15642" width="0" style="2" hidden="1" customWidth="1"/>
    <col min="15643" max="15872" width="9" style="2"/>
    <col min="15873" max="15873" width="5" style="2" bestFit="1" customWidth="1"/>
    <col min="15874" max="15874" width="22.85546875" style="2" customWidth="1"/>
    <col min="15875" max="15875" width="15.42578125" style="2" customWidth="1"/>
    <col min="15876" max="15876" width="14.5703125" style="2" customWidth="1"/>
    <col min="15877" max="15877" width="11.28515625" style="2" customWidth="1"/>
    <col min="15878" max="15878" width="5.85546875" style="2" customWidth="1"/>
    <col min="15879" max="15879" width="11.85546875" style="2" bestFit="1" customWidth="1"/>
    <col min="15880" max="15880" width="10.42578125" style="2" customWidth="1"/>
    <col min="15881" max="15881" width="5.5703125" style="2" customWidth="1"/>
    <col min="15882" max="15882" width="7.5703125" style="2" customWidth="1"/>
    <col min="15883" max="15883" width="13.140625" style="2" bestFit="1" customWidth="1"/>
    <col min="15884" max="15885" width="7" style="2" customWidth="1"/>
    <col min="15886" max="15886" width="11.140625" style="2" customWidth="1"/>
    <col min="15887" max="15887" width="12.5703125" style="2" bestFit="1" customWidth="1"/>
    <col min="15888" max="15888" width="10.42578125" style="2" customWidth="1"/>
    <col min="15889" max="15889" width="7.42578125" style="2" customWidth="1"/>
    <col min="15890" max="15890" width="15.85546875" style="2" bestFit="1" customWidth="1"/>
    <col min="15891" max="15891" width="5.85546875" style="2" customWidth="1"/>
    <col min="15892" max="15898" width="0" style="2" hidden="1" customWidth="1"/>
    <col min="15899" max="16128" width="9" style="2"/>
    <col min="16129" max="16129" width="5" style="2" bestFit="1" customWidth="1"/>
    <col min="16130" max="16130" width="22.85546875" style="2" customWidth="1"/>
    <col min="16131" max="16131" width="15.42578125" style="2" customWidth="1"/>
    <col min="16132" max="16132" width="14.5703125" style="2" customWidth="1"/>
    <col min="16133" max="16133" width="11.28515625" style="2" customWidth="1"/>
    <col min="16134" max="16134" width="5.85546875" style="2" customWidth="1"/>
    <col min="16135" max="16135" width="11.85546875" style="2" bestFit="1" customWidth="1"/>
    <col min="16136" max="16136" width="10.42578125" style="2" customWidth="1"/>
    <col min="16137" max="16137" width="5.5703125" style="2" customWidth="1"/>
    <col min="16138" max="16138" width="7.5703125" style="2" customWidth="1"/>
    <col min="16139" max="16139" width="13.140625" style="2" bestFit="1" customWidth="1"/>
    <col min="16140" max="16141" width="7" style="2" customWidth="1"/>
    <col min="16142" max="16142" width="11.140625" style="2" customWidth="1"/>
    <col min="16143" max="16143" width="12.5703125" style="2" bestFit="1" customWidth="1"/>
    <col min="16144" max="16144" width="10.42578125" style="2" customWidth="1"/>
    <col min="16145" max="16145" width="7.42578125" style="2" customWidth="1"/>
    <col min="16146" max="16146" width="15.85546875" style="2" bestFit="1" customWidth="1"/>
    <col min="16147" max="16147" width="5.85546875" style="2" customWidth="1"/>
    <col min="16148" max="16154" width="0" style="2" hidden="1" customWidth="1"/>
    <col min="16155" max="16384" width="9" style="2"/>
  </cols>
  <sheetData>
    <row r="1" spans="1:28" ht="18.75" x14ac:dyDescent="0.3">
      <c r="A1" s="1"/>
      <c r="B1" s="78" t="s">
        <v>60</v>
      </c>
      <c r="C1" s="82"/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28" ht="13.5" x14ac:dyDescent="0.25">
      <c r="A2" s="3"/>
      <c r="B2" s="4"/>
      <c r="C2" s="83"/>
      <c r="D2" s="5"/>
      <c r="E2" s="4"/>
      <c r="Q2" s="76" t="s">
        <v>64</v>
      </c>
    </row>
    <row r="3" spans="1:28" ht="20.45" customHeight="1" x14ac:dyDescent="0.3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28" ht="20.45" customHeight="1" x14ac:dyDescent="0.3">
      <c r="A4" s="148" t="s">
        <v>61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</row>
    <row r="5" spans="1:28" s="8" customFormat="1" hidden="1" x14ac:dyDescent="0.2">
      <c r="A5" s="6"/>
      <c r="B5" s="23"/>
      <c r="C5" s="84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7"/>
      <c r="Q5" s="23"/>
      <c r="R5" s="23"/>
      <c r="S5" s="23"/>
    </row>
    <row r="6" spans="1:28" s="8" customFormat="1" ht="16.5" hidden="1" customHeight="1" x14ac:dyDescent="0.2">
      <c r="A6" s="9"/>
      <c r="B6" s="10"/>
      <c r="C6" s="81">
        <v>54860.898250839695</v>
      </c>
      <c r="D6" s="29">
        <v>29101.58329839402</v>
      </c>
      <c r="E6" s="11">
        <v>0.56755991294273533</v>
      </c>
      <c r="F6" s="2"/>
      <c r="G6" s="11"/>
      <c r="H6" s="2"/>
      <c r="I6" s="73">
        <v>64.22464685380416</v>
      </c>
      <c r="J6" s="71">
        <v>1.2525550449736041E-3</v>
      </c>
      <c r="K6" s="5">
        <v>13903.138972470784</v>
      </c>
      <c r="L6" s="48">
        <v>0.2711489702789377</v>
      </c>
      <c r="M6" s="4"/>
      <c r="N6" s="4"/>
      <c r="O6" s="4"/>
      <c r="P6" s="5">
        <v>8205.9628050374013</v>
      </c>
      <c r="Q6" s="48">
        <v>0.16003856173335321</v>
      </c>
    </row>
    <row r="7" spans="1:28" s="8" customFormat="1" ht="16.5" customHeight="1" x14ac:dyDescent="0.2">
      <c r="A7" s="9"/>
      <c r="B7" s="10"/>
      <c r="C7" s="81"/>
      <c r="D7" s="129">
        <f>SUM(D14:H14)</f>
        <v>31336.386808495212</v>
      </c>
      <c r="E7" s="129"/>
      <c r="F7" s="130"/>
      <c r="G7" s="129"/>
      <c r="H7" s="130"/>
      <c r="I7" s="130">
        <f>SUM(I14:J14)</f>
        <v>65.515458316404164</v>
      </c>
      <c r="J7" s="130"/>
      <c r="K7" s="130">
        <f>SUM(K14:O14)</f>
        <v>14088.898017212705</v>
      </c>
      <c r="L7" s="129"/>
      <c r="M7" s="130"/>
      <c r="N7" s="130"/>
      <c r="O7" s="130"/>
      <c r="P7" s="130">
        <f>SUM(P14:R14)</f>
        <v>9370.0979668153705</v>
      </c>
      <c r="Q7" s="129"/>
      <c r="R7" s="75" t="s">
        <v>63</v>
      </c>
      <c r="S7" s="13"/>
    </row>
    <row r="8" spans="1:28" s="8" customFormat="1" ht="16.5" customHeight="1" x14ac:dyDescent="0.2">
      <c r="A8" s="9"/>
      <c r="B8" s="10"/>
      <c r="C8" s="81"/>
      <c r="D8" s="132">
        <f>SUM(D15:H15)</f>
        <v>0.57119711502382442</v>
      </c>
      <c r="E8" s="132"/>
      <c r="F8" s="133"/>
      <c r="G8" s="132"/>
      <c r="H8" s="133"/>
      <c r="I8" s="133">
        <f>SUM(I15:J15)</f>
        <v>1.1942104559945189E-3</v>
      </c>
      <c r="J8" s="133"/>
      <c r="K8" s="133">
        <f>SUM(K15:O15)</f>
        <v>0.25681128939585063</v>
      </c>
      <c r="L8" s="132"/>
      <c r="M8" s="133"/>
      <c r="N8" s="133"/>
      <c r="O8" s="133"/>
      <c r="P8" s="133">
        <f>SUM(P15:R15)</f>
        <v>0.1707973851243304</v>
      </c>
      <c r="Q8" s="129"/>
      <c r="R8" s="75"/>
      <c r="S8" s="2"/>
    </row>
    <row r="9" spans="1:28" s="8" customFormat="1" ht="19.5" customHeight="1" x14ac:dyDescent="0.2">
      <c r="A9" s="149" t="s">
        <v>4</v>
      </c>
      <c r="B9" s="145" t="s">
        <v>5</v>
      </c>
      <c r="C9" s="145" t="s">
        <v>6</v>
      </c>
      <c r="D9" s="151" t="s">
        <v>7</v>
      </c>
      <c r="E9" s="152"/>
      <c r="F9" s="152"/>
      <c r="G9" s="152"/>
      <c r="H9" s="153"/>
      <c r="I9" s="151" t="s">
        <v>8</v>
      </c>
      <c r="J9" s="153"/>
      <c r="K9" s="151" t="s">
        <v>9</v>
      </c>
      <c r="L9" s="152"/>
      <c r="M9" s="152"/>
      <c r="N9" s="152"/>
      <c r="O9" s="153"/>
      <c r="P9" s="151" t="s">
        <v>10</v>
      </c>
      <c r="Q9" s="152"/>
      <c r="R9" s="153"/>
      <c r="S9" s="145" t="s">
        <v>11</v>
      </c>
    </row>
    <row r="10" spans="1:28" s="8" customFormat="1" ht="87.75" customHeight="1" x14ac:dyDescent="0.2">
      <c r="A10" s="150"/>
      <c r="B10" s="146"/>
      <c r="C10" s="146"/>
      <c r="D10" s="14" t="s">
        <v>12</v>
      </c>
      <c r="E10" s="14" t="s">
        <v>13</v>
      </c>
      <c r="F10" s="14" t="s">
        <v>14</v>
      </c>
      <c r="G10" s="14" t="s">
        <v>15</v>
      </c>
      <c r="H10" s="14" t="s">
        <v>16</v>
      </c>
      <c r="I10" s="14" t="s">
        <v>17</v>
      </c>
      <c r="J10" s="14" t="s">
        <v>18</v>
      </c>
      <c r="K10" s="14" t="s">
        <v>19</v>
      </c>
      <c r="L10" s="14" t="s">
        <v>20</v>
      </c>
      <c r="M10" s="14" t="s">
        <v>21</v>
      </c>
      <c r="N10" s="14" t="s">
        <v>22</v>
      </c>
      <c r="O10" s="14" t="s">
        <v>23</v>
      </c>
      <c r="P10" s="14" t="s">
        <v>24</v>
      </c>
      <c r="Q10" s="14" t="s">
        <v>25</v>
      </c>
      <c r="R10" s="15" t="s">
        <v>10</v>
      </c>
      <c r="S10" s="146"/>
    </row>
    <row r="11" spans="1:28" s="99" customFormat="1" ht="15.75" x14ac:dyDescent="0.25">
      <c r="A11" s="95" t="s">
        <v>26</v>
      </c>
      <c r="B11" s="96" t="s">
        <v>27</v>
      </c>
      <c r="C11" s="96" t="s">
        <v>28</v>
      </c>
      <c r="D11" s="97">
        <v>2</v>
      </c>
      <c r="E11" s="98">
        <v>3</v>
      </c>
      <c r="F11" s="97">
        <v>4</v>
      </c>
      <c r="G11" s="97">
        <v>5</v>
      </c>
      <c r="H11" s="97">
        <v>6</v>
      </c>
      <c r="I11" s="97">
        <v>7</v>
      </c>
      <c r="J11" s="97">
        <v>8</v>
      </c>
      <c r="K11" s="97">
        <v>9</v>
      </c>
      <c r="L11" s="97">
        <v>10</v>
      </c>
      <c r="M11" s="97">
        <v>11</v>
      </c>
      <c r="N11" s="97">
        <v>12</v>
      </c>
      <c r="O11" s="97">
        <v>13</v>
      </c>
      <c r="P11" s="97">
        <v>14</v>
      </c>
      <c r="Q11" s="97">
        <v>15</v>
      </c>
      <c r="R11" s="97">
        <v>16</v>
      </c>
      <c r="S11" s="97">
        <v>17</v>
      </c>
    </row>
    <row r="12" spans="1:28" s="99" customFormat="1" ht="15.75" x14ac:dyDescent="0.25">
      <c r="A12" s="95"/>
      <c r="B12" s="96" t="s">
        <v>29</v>
      </c>
      <c r="C12" s="96">
        <v>3585.988528083677</v>
      </c>
      <c r="D12" s="127">
        <v>1758.430267337721</v>
      </c>
      <c r="E12" s="128">
        <v>8.7106842059999998</v>
      </c>
      <c r="F12" s="127">
        <v>1.0046856290000001</v>
      </c>
      <c r="G12" s="127">
        <v>402.55467800046563</v>
      </c>
      <c r="H12" s="127">
        <v>64.103194927999994</v>
      </c>
      <c r="I12" s="127">
        <v>0</v>
      </c>
      <c r="J12" s="127">
        <v>1.2908114626</v>
      </c>
      <c r="K12" s="127">
        <v>153.60150976900002</v>
      </c>
      <c r="L12" s="127">
        <v>0</v>
      </c>
      <c r="M12" s="127">
        <v>2.354616391</v>
      </c>
      <c r="N12" s="127">
        <v>29.802918581921897</v>
      </c>
      <c r="O12" s="127">
        <v>0</v>
      </c>
      <c r="P12" s="127">
        <v>0.464384623</v>
      </c>
      <c r="Q12" s="127">
        <v>375.32507551400016</v>
      </c>
      <c r="R12" s="127">
        <v>788.34570164096795</v>
      </c>
      <c r="S12" s="97"/>
    </row>
    <row r="13" spans="1:28" s="99" customFormat="1" ht="23.25" customHeight="1" x14ac:dyDescent="0.25">
      <c r="A13" s="100"/>
      <c r="B13" s="101" t="s">
        <v>65</v>
      </c>
      <c r="C13" s="102">
        <v>51274.90972275602</v>
      </c>
      <c r="D13" s="103">
        <v>19878.992997828478</v>
      </c>
      <c r="E13" s="103">
        <v>4108.4726656189996</v>
      </c>
      <c r="F13" s="103">
        <v>1570.3316130013457</v>
      </c>
      <c r="G13" s="103">
        <v>2949.8916544172539</v>
      </c>
      <c r="H13" s="103">
        <v>593.89436752794404</v>
      </c>
      <c r="I13" s="103">
        <v>9.6918179999999996E-3</v>
      </c>
      <c r="J13" s="103">
        <v>64.214955035804167</v>
      </c>
      <c r="K13" s="103">
        <v>8289.2219133830004</v>
      </c>
      <c r="L13" s="103">
        <v>199.30814912599999</v>
      </c>
      <c r="M13" s="103">
        <v>1559.9232669024625</v>
      </c>
      <c r="N13" s="103">
        <v>938.07118745632135</v>
      </c>
      <c r="O13" s="103">
        <v>2916.6144556030004</v>
      </c>
      <c r="P13" s="103">
        <v>30.946503</v>
      </c>
      <c r="Q13" s="103">
        <v>772.86037865999981</v>
      </c>
      <c r="R13" s="103">
        <v>7402.1559233774024</v>
      </c>
      <c r="S13" s="104"/>
      <c r="AA13" s="105">
        <f t="shared" ref="AA13:AA18" si="0">SUM(D13:R13)</f>
        <v>51274.909722756005</v>
      </c>
      <c r="AB13" s="105">
        <f t="shared" ref="AB13:AB18" si="1">AA13-C13</f>
        <v>0</v>
      </c>
    </row>
    <row r="14" spans="1:28" s="99" customFormat="1" ht="23.25" customHeight="1" x14ac:dyDescent="0.25">
      <c r="A14" s="100"/>
      <c r="B14" s="101"/>
      <c r="C14" s="131">
        <f>C12+C13</f>
        <v>54860.898250839695</v>
      </c>
      <c r="D14" s="131">
        <f t="shared" ref="D14:R14" si="2">D12+D13</f>
        <v>21637.423265166199</v>
      </c>
      <c r="E14" s="131">
        <f t="shared" si="2"/>
        <v>4117.1833498249998</v>
      </c>
      <c r="F14" s="131">
        <f t="shared" si="2"/>
        <v>1571.3362986303457</v>
      </c>
      <c r="G14" s="131">
        <f t="shared" si="2"/>
        <v>3352.4463324177195</v>
      </c>
      <c r="H14" s="131">
        <f t="shared" si="2"/>
        <v>657.99756245594403</v>
      </c>
      <c r="I14" s="131">
        <f t="shared" si="2"/>
        <v>9.6918179999999996E-3</v>
      </c>
      <c r="J14" s="131">
        <f t="shared" si="2"/>
        <v>65.505766498404171</v>
      </c>
      <c r="K14" s="131">
        <f t="shared" si="2"/>
        <v>8442.823423152</v>
      </c>
      <c r="L14" s="131">
        <f t="shared" si="2"/>
        <v>199.30814912599999</v>
      </c>
      <c r="M14" s="131">
        <f t="shared" si="2"/>
        <v>1562.2778832934625</v>
      </c>
      <c r="N14" s="131">
        <f t="shared" si="2"/>
        <v>967.87410603824321</v>
      </c>
      <c r="O14" s="131">
        <f t="shared" si="2"/>
        <v>2916.6144556030004</v>
      </c>
      <c r="P14" s="131">
        <f t="shared" si="2"/>
        <v>31.410887623000001</v>
      </c>
      <c r="Q14" s="131">
        <f t="shared" si="2"/>
        <v>1148.1854541739999</v>
      </c>
      <c r="R14" s="131">
        <f t="shared" si="2"/>
        <v>8190.5016250183708</v>
      </c>
      <c r="S14" s="104"/>
      <c r="AA14" s="105"/>
      <c r="AB14" s="105"/>
    </row>
    <row r="15" spans="1:28" s="99" customFormat="1" ht="23.25" customHeight="1" x14ac:dyDescent="0.25">
      <c r="A15" s="100"/>
      <c r="B15" s="101"/>
      <c r="C15" s="102"/>
      <c r="D15" s="107">
        <f>D14/$C$14</f>
        <v>0.394405194866364</v>
      </c>
      <c r="E15" s="107">
        <f t="shared" ref="E15:R15" si="3">E14/$C$14</f>
        <v>7.5047683889535713E-2</v>
      </c>
      <c r="F15" s="107">
        <f t="shared" si="3"/>
        <v>2.8642190498699954E-2</v>
      </c>
      <c r="G15" s="107">
        <f t="shared" si="3"/>
        <v>6.1108119613524692E-2</v>
      </c>
      <c r="H15" s="107">
        <f t="shared" si="3"/>
        <v>1.1993926155700026E-2</v>
      </c>
      <c r="I15" s="107">
        <f t="shared" si="3"/>
        <v>1.7666167177369643E-7</v>
      </c>
      <c r="J15" s="107">
        <f t="shared" si="3"/>
        <v>1.1940337943227451E-3</v>
      </c>
      <c r="K15" s="107">
        <f t="shared" si="3"/>
        <v>0.15389510001365636</v>
      </c>
      <c r="L15" s="107">
        <f t="shared" si="3"/>
        <v>3.6329727634918812E-3</v>
      </c>
      <c r="M15" s="107">
        <f t="shared" si="3"/>
        <v>2.8477074439253288E-2</v>
      </c>
      <c r="N15" s="107">
        <f t="shared" si="3"/>
        <v>1.7642330637986391E-2</v>
      </c>
      <c r="O15" s="107">
        <f t="shared" si="3"/>
        <v>5.3163811541462665E-2</v>
      </c>
      <c r="P15" s="107">
        <f t="shared" si="3"/>
        <v>5.7255510982303737E-4</v>
      </c>
      <c r="Q15" s="107">
        <f t="shared" si="3"/>
        <v>2.0929031255087514E-2</v>
      </c>
      <c r="R15" s="107">
        <f t="shared" si="3"/>
        <v>0.14929579875941984</v>
      </c>
      <c r="S15" s="104"/>
      <c r="AA15" s="105"/>
      <c r="AB15" s="105"/>
    </row>
    <row r="16" spans="1:28" s="99" customFormat="1" ht="23.25" customHeight="1" x14ac:dyDescent="0.25">
      <c r="A16" s="100"/>
      <c r="B16" s="101"/>
      <c r="C16" s="102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4"/>
      <c r="AA16" s="105"/>
      <c r="AB16" s="105"/>
    </row>
    <row r="17" spans="1:28" s="99" customFormat="1" ht="23.25" hidden="1" customHeight="1" x14ac:dyDescent="0.25">
      <c r="A17" s="100"/>
      <c r="B17" s="101" t="s">
        <v>58</v>
      </c>
      <c r="C17" s="106"/>
      <c r="D17" s="107">
        <v>0.38769435393088753</v>
      </c>
      <c r="E17" s="107">
        <v>8.0126375411162201E-2</v>
      </c>
      <c r="F17" s="107">
        <v>3.0625731405323684E-2</v>
      </c>
      <c r="G17" s="107">
        <v>5.7530899037508777E-2</v>
      </c>
      <c r="H17" s="107">
        <v>1.1582553157853172E-2</v>
      </c>
      <c r="I17" s="107">
        <v>1.8901677355267444E-7</v>
      </c>
      <c r="J17" s="107">
        <v>1.2523660282000517E-3</v>
      </c>
      <c r="K17" s="107">
        <v>0.16166234047417949</v>
      </c>
      <c r="L17" s="107">
        <v>3.8870502201498016E-3</v>
      </c>
      <c r="M17" s="107">
        <v>3.0422740387783892E-2</v>
      </c>
      <c r="N17" s="107">
        <v>1.8294935915606332E-2</v>
      </c>
      <c r="O17" s="107">
        <v>5.6881903281218157E-2</v>
      </c>
      <c r="P17" s="107">
        <v>6.0354085784505656E-4</v>
      </c>
      <c r="Q17" s="107">
        <v>1.507287643876633E-2</v>
      </c>
      <c r="R17" s="107">
        <v>0.14436214443674183</v>
      </c>
      <c r="S17" s="108"/>
      <c r="AA17" s="105">
        <f t="shared" si="0"/>
        <v>0.99999999999999978</v>
      </c>
      <c r="AB17" s="105">
        <f t="shared" si="1"/>
        <v>0.99999999999999978</v>
      </c>
    </row>
    <row r="18" spans="1:28" s="99" customFormat="1" ht="23.25" customHeight="1" x14ac:dyDescent="0.25">
      <c r="A18" s="100"/>
      <c r="B18" s="109"/>
      <c r="C18" s="110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4"/>
      <c r="AA18" s="105">
        <f t="shared" si="0"/>
        <v>0</v>
      </c>
      <c r="AB18" s="105">
        <f t="shared" si="1"/>
        <v>0</v>
      </c>
    </row>
    <row r="19" spans="1:28" s="115" customFormat="1" ht="23.25" customHeight="1" x14ac:dyDescent="0.25">
      <c r="A19" s="100">
        <v>1</v>
      </c>
      <c r="B19" s="111" t="s">
        <v>31</v>
      </c>
      <c r="C19" s="112">
        <f>SUM(D19:R19)</f>
        <v>14.934414346999999</v>
      </c>
      <c r="D19" s="113">
        <f>997638978/(10^9)</f>
        <v>0.99763897800000001</v>
      </c>
      <c r="E19" s="113">
        <f>186000000/(10^9)</f>
        <v>0.186</v>
      </c>
      <c r="F19" s="113">
        <f t="shared" ref="F19:L29" si="4">0/(10^9)</f>
        <v>0</v>
      </c>
      <c r="G19" s="113">
        <f>10441802200/(10^9)</f>
        <v>10.4418022</v>
      </c>
      <c r="H19" s="113">
        <f t="shared" ref="H19:Q21" si="5">0/(10^9)</f>
        <v>0</v>
      </c>
      <c r="I19" s="113">
        <f t="shared" si="5"/>
        <v>0</v>
      </c>
      <c r="J19" s="113">
        <f t="shared" si="5"/>
        <v>0</v>
      </c>
      <c r="K19" s="113">
        <f t="shared" si="5"/>
        <v>0</v>
      </c>
      <c r="L19" s="113">
        <f t="shared" si="5"/>
        <v>0</v>
      </c>
      <c r="M19" s="113">
        <f t="shared" si="5"/>
        <v>0</v>
      </c>
      <c r="N19" s="113">
        <f t="shared" si="5"/>
        <v>0</v>
      </c>
      <c r="O19" s="113">
        <f t="shared" si="5"/>
        <v>0</v>
      </c>
      <c r="P19" s="113">
        <f t="shared" si="5"/>
        <v>0</v>
      </c>
      <c r="Q19" s="113">
        <f t="shared" si="5"/>
        <v>0</v>
      </c>
      <c r="R19" s="113">
        <f>3308973169/(10^9)</f>
        <v>3.3089731690000002</v>
      </c>
      <c r="S19" s="114"/>
      <c r="AA19" s="105">
        <f>SUM(D19:R19)</f>
        <v>14.934414346999999</v>
      </c>
      <c r="AB19" s="105">
        <f>AA19-C19</f>
        <v>0</v>
      </c>
    </row>
    <row r="20" spans="1:28" s="99" customFormat="1" ht="23.25" customHeight="1" x14ac:dyDescent="0.25">
      <c r="A20" s="100">
        <v>2</v>
      </c>
      <c r="B20" s="111" t="s">
        <v>30</v>
      </c>
      <c r="C20" s="112">
        <f>SUM(D20:R20)</f>
        <v>30.703734195999999</v>
      </c>
      <c r="D20" s="113">
        <f>0/(10^9)</f>
        <v>0</v>
      </c>
      <c r="E20" s="113">
        <f>0/(10^9)</f>
        <v>0</v>
      </c>
      <c r="F20" s="113">
        <f t="shared" si="4"/>
        <v>0</v>
      </c>
      <c r="G20" s="113">
        <f t="shared" si="4"/>
        <v>0</v>
      </c>
      <c r="H20" s="113">
        <f t="shared" si="4"/>
        <v>0</v>
      </c>
      <c r="I20" s="113">
        <f t="shared" si="4"/>
        <v>0</v>
      </c>
      <c r="J20" s="113">
        <f t="shared" si="4"/>
        <v>0</v>
      </c>
      <c r="K20" s="113">
        <f t="shared" si="4"/>
        <v>0</v>
      </c>
      <c r="L20" s="113">
        <f t="shared" si="4"/>
        <v>0</v>
      </c>
      <c r="M20" s="113">
        <f>31698000/(10^9)</f>
        <v>3.1697999999999997E-2</v>
      </c>
      <c r="N20" s="113">
        <f t="shared" si="5"/>
        <v>0</v>
      </c>
      <c r="O20" s="113">
        <f t="shared" si="5"/>
        <v>0</v>
      </c>
      <c r="P20" s="113">
        <f t="shared" si="5"/>
        <v>0</v>
      </c>
      <c r="Q20" s="113">
        <f t="shared" si="5"/>
        <v>0</v>
      </c>
      <c r="R20" s="113">
        <f>30672036196/(10^9)</f>
        <v>30.672036196000001</v>
      </c>
      <c r="S20" s="116"/>
      <c r="AA20" s="105">
        <f t="shared" ref="AA20:AA41" si="6">SUM(D20:R20)</f>
        <v>30.703734195999999</v>
      </c>
      <c r="AB20" s="105">
        <f>AA20-C20</f>
        <v>0</v>
      </c>
    </row>
    <row r="21" spans="1:28" s="118" customFormat="1" ht="23.25" customHeight="1" x14ac:dyDescent="0.25">
      <c r="A21" s="100">
        <v>3</v>
      </c>
      <c r="B21" s="117" t="s">
        <v>32</v>
      </c>
      <c r="C21" s="112">
        <f>SUM(D21:R21)</f>
        <v>0.287292033</v>
      </c>
      <c r="D21" s="113">
        <f>0/(10^9)</f>
        <v>0</v>
      </c>
      <c r="E21" s="113">
        <f>0/(10^9)</f>
        <v>0</v>
      </c>
      <c r="F21" s="113">
        <f t="shared" si="4"/>
        <v>0</v>
      </c>
      <c r="G21" s="113">
        <f t="shared" si="4"/>
        <v>0</v>
      </c>
      <c r="H21" s="113">
        <f t="shared" si="4"/>
        <v>0</v>
      </c>
      <c r="I21" s="113">
        <f t="shared" si="4"/>
        <v>0</v>
      </c>
      <c r="J21" s="113">
        <f t="shared" si="4"/>
        <v>0</v>
      </c>
      <c r="K21" s="113">
        <f t="shared" si="4"/>
        <v>0</v>
      </c>
      <c r="L21" s="113">
        <f t="shared" si="4"/>
        <v>0</v>
      </c>
      <c r="M21" s="113">
        <f>287292033/(10^9)</f>
        <v>0.287292033</v>
      </c>
      <c r="N21" s="113">
        <f t="shared" si="5"/>
        <v>0</v>
      </c>
      <c r="O21" s="113">
        <f t="shared" si="5"/>
        <v>0</v>
      </c>
      <c r="P21" s="113">
        <f t="shared" si="5"/>
        <v>0</v>
      </c>
      <c r="Q21" s="113">
        <f t="shared" si="5"/>
        <v>0</v>
      </c>
      <c r="R21" s="113">
        <f>0/(10^9)</f>
        <v>0</v>
      </c>
      <c r="S21" s="114"/>
      <c r="AA21" s="105">
        <f t="shared" si="6"/>
        <v>0.287292033</v>
      </c>
      <c r="AB21" s="105">
        <f t="shared" ref="AB21:AB41" si="7">AA21-C21</f>
        <v>0</v>
      </c>
    </row>
    <row r="22" spans="1:28" s="118" customFormat="1" ht="23.25" customHeight="1" x14ac:dyDescent="0.25">
      <c r="A22" s="100">
        <v>4</v>
      </c>
      <c r="B22" s="117" t="s">
        <v>33</v>
      </c>
      <c r="C22" s="112">
        <f t="shared" ref="C22:C41" si="8">SUM(D22:R22)</f>
        <v>869.16072873299993</v>
      </c>
      <c r="D22" s="113">
        <f>52800978311/(10^9)</f>
        <v>52.800978311000001</v>
      </c>
      <c r="E22" s="113">
        <f>197215305985/(10^9)</f>
        <v>197.21530598499999</v>
      </c>
      <c r="F22" s="113">
        <f t="shared" si="4"/>
        <v>0</v>
      </c>
      <c r="G22" s="113">
        <f>229204647845/(10^9)</f>
        <v>229.20464784500001</v>
      </c>
      <c r="H22" s="113">
        <f>165738384/(10^9)</f>
        <v>0.16573838399999999</v>
      </c>
      <c r="I22" s="113">
        <f t="shared" si="4"/>
        <v>0</v>
      </c>
      <c r="J22" s="113">
        <f t="shared" si="4"/>
        <v>0</v>
      </c>
      <c r="K22" s="113">
        <f>144773745603/(10^9)</f>
        <v>144.77374560300001</v>
      </c>
      <c r="L22" s="113">
        <f t="shared" si="4"/>
        <v>0</v>
      </c>
      <c r="M22" s="113">
        <f>9128720704/(10^9)</f>
        <v>9.1287207039999991</v>
      </c>
      <c r="N22" s="113">
        <f>137414129099/(10^9)</f>
        <v>137.41412909900001</v>
      </c>
      <c r="O22" s="113">
        <f>6676005391/(10^9)</f>
        <v>6.6760053910000003</v>
      </c>
      <c r="P22" s="113">
        <f>0/(10^9)</f>
        <v>0</v>
      </c>
      <c r="Q22" s="113">
        <f>0/(10^9)</f>
        <v>0</v>
      </c>
      <c r="R22" s="113">
        <f>91781457411/(10^9)</f>
        <v>91.781457411000005</v>
      </c>
      <c r="S22" s="114">
        <v>0</v>
      </c>
      <c r="AA22" s="105">
        <f t="shared" si="6"/>
        <v>869.16072873299993</v>
      </c>
      <c r="AB22" s="105">
        <f t="shared" si="7"/>
        <v>0</v>
      </c>
    </row>
    <row r="23" spans="1:28" s="118" customFormat="1" ht="23.25" customHeight="1" x14ac:dyDescent="0.25">
      <c r="A23" s="100">
        <v>5</v>
      </c>
      <c r="B23" s="117" t="s">
        <v>35</v>
      </c>
      <c r="C23" s="112">
        <f t="shared" si="8"/>
        <v>702.04707197687947</v>
      </c>
      <c r="D23" s="113">
        <f>111496117757.17/(10^9)</f>
        <v>111.49611775717</v>
      </c>
      <c r="E23" s="113">
        <f>564209681093/(10^9)</f>
        <v>564.20968109299997</v>
      </c>
      <c r="F23" s="113">
        <f t="shared" si="4"/>
        <v>0</v>
      </c>
      <c r="G23" s="113">
        <f>3268584617.71848/(10^9)</f>
        <v>3.2685846177184801</v>
      </c>
      <c r="H23" s="113">
        <f>8373630349/(10^9)</f>
        <v>8.3736303490000008</v>
      </c>
      <c r="I23" s="113">
        <f t="shared" si="4"/>
        <v>0</v>
      </c>
      <c r="J23" s="113">
        <f t="shared" si="4"/>
        <v>0</v>
      </c>
      <c r="K23" s="113">
        <f>0/(10^9)</f>
        <v>0</v>
      </c>
      <c r="L23" s="113">
        <f t="shared" si="4"/>
        <v>0</v>
      </c>
      <c r="M23" s="113">
        <f>626384159.991048/(10^9)</f>
        <v>0.62638415999104802</v>
      </c>
      <c r="N23" s="113">
        <f>0/(10^9)</f>
        <v>0</v>
      </c>
      <c r="O23" s="113">
        <f>4554312000/(10^9)</f>
        <v>4.5543120000000004</v>
      </c>
      <c r="P23" s="113">
        <f>0/(10^9)</f>
        <v>0</v>
      </c>
      <c r="Q23" s="113">
        <f>996815186/(10^9)</f>
        <v>0.99681518599999996</v>
      </c>
      <c r="R23" s="113">
        <f>8521546814/(10^9)</f>
        <v>8.5215468140000006</v>
      </c>
      <c r="S23" s="114"/>
      <c r="AA23" s="105">
        <f t="shared" si="6"/>
        <v>702.04707197687947</v>
      </c>
      <c r="AB23" s="105">
        <f t="shared" si="7"/>
        <v>0</v>
      </c>
    </row>
    <row r="24" spans="1:28" s="118" customFormat="1" ht="23.25" customHeight="1" x14ac:dyDescent="0.25">
      <c r="A24" s="100">
        <v>6</v>
      </c>
      <c r="B24" s="117" t="s">
        <v>36</v>
      </c>
      <c r="C24" s="112">
        <f t="shared" si="8"/>
        <v>3536.117278916</v>
      </c>
      <c r="D24" s="113">
        <f>79437207969/(10^9)</f>
        <v>79.437207968999999</v>
      </c>
      <c r="E24" s="113">
        <f>2947395049208/(10^9)</f>
        <v>2947.3950492079998</v>
      </c>
      <c r="F24" s="113">
        <f t="shared" si="4"/>
        <v>0</v>
      </c>
      <c r="G24" s="113">
        <f>0/(10^9)</f>
        <v>0</v>
      </c>
      <c r="H24" s="113">
        <f>0/(10^9)</f>
        <v>0</v>
      </c>
      <c r="I24" s="113">
        <f t="shared" si="4"/>
        <v>0</v>
      </c>
      <c r="J24" s="113">
        <f t="shared" si="4"/>
        <v>0</v>
      </c>
      <c r="K24" s="113">
        <f>5115188000/(10^9)</f>
        <v>5.1151879999999998</v>
      </c>
      <c r="L24" s="113">
        <f t="shared" si="4"/>
        <v>0</v>
      </c>
      <c r="M24" s="113">
        <f>253499000/(10^9)</f>
        <v>0.25349899999999997</v>
      </c>
      <c r="N24" s="113">
        <f>0/(10^9)</f>
        <v>0</v>
      </c>
      <c r="O24" s="113">
        <f>34222794233/(10^9)</f>
        <v>34.222794233000002</v>
      </c>
      <c r="P24" s="113">
        <f>0/(10^9)</f>
        <v>0</v>
      </c>
      <c r="Q24" s="113">
        <f>399087196695/(10^9)</f>
        <v>399.08719669499999</v>
      </c>
      <c r="R24" s="113">
        <f>70606343811/(10^9)</f>
        <v>70.606343811000002</v>
      </c>
      <c r="S24" s="114"/>
      <c r="AA24" s="105">
        <f t="shared" si="6"/>
        <v>3536.117278916</v>
      </c>
      <c r="AB24" s="105">
        <f t="shared" si="7"/>
        <v>0</v>
      </c>
    </row>
    <row r="25" spans="1:28" s="118" customFormat="1" ht="23.25" customHeight="1" x14ac:dyDescent="0.25">
      <c r="A25" s="100">
        <v>7</v>
      </c>
      <c r="B25" s="117" t="s">
        <v>37</v>
      </c>
      <c r="C25" s="112">
        <f t="shared" si="8"/>
        <v>801.09497926185486</v>
      </c>
      <c r="D25" s="113">
        <f>676942351402.855/(10^9)</f>
        <v>676.94235140285502</v>
      </c>
      <c r="E25" s="113">
        <f>5749693826/(10^9)</f>
        <v>5.7496938259999997</v>
      </c>
      <c r="F25" s="113">
        <f t="shared" si="4"/>
        <v>0</v>
      </c>
      <c r="G25" s="113">
        <f>3656602447/(10^9)</f>
        <v>3.656602447</v>
      </c>
      <c r="H25" s="113">
        <f>85793277714/(10^9)</f>
        <v>85.793277713999998</v>
      </c>
      <c r="I25" s="113">
        <f t="shared" si="4"/>
        <v>0</v>
      </c>
      <c r="J25" s="113">
        <f t="shared" si="4"/>
        <v>0</v>
      </c>
      <c r="K25" s="113">
        <f>16964711139/(10^9)</f>
        <v>16.964711138999998</v>
      </c>
      <c r="L25" s="113">
        <f t="shared" si="4"/>
        <v>0</v>
      </c>
      <c r="M25" s="113">
        <f>7631098731/(10^9)</f>
        <v>7.6310987309999998</v>
      </c>
      <c r="N25" s="113">
        <f>105339000/(10^9)</f>
        <v>0.105339</v>
      </c>
      <c r="O25" s="113">
        <f>4251905002/(10^9)</f>
        <v>4.251905002</v>
      </c>
      <c r="P25" s="113">
        <f>0/(10^9)</f>
        <v>0</v>
      </c>
      <c r="Q25" s="113">
        <f>0/(10^9)</f>
        <v>0</v>
      </c>
      <c r="R25" s="113">
        <f>0/(10^9)</f>
        <v>0</v>
      </c>
      <c r="S25" s="114"/>
      <c r="AA25" s="105">
        <f t="shared" si="6"/>
        <v>801.09497926185486</v>
      </c>
      <c r="AB25" s="105">
        <f t="shared" si="7"/>
        <v>0</v>
      </c>
    </row>
    <row r="26" spans="1:28" s="118" customFormat="1" ht="23.25" customHeight="1" x14ac:dyDescent="0.25">
      <c r="A26" s="100">
        <v>8</v>
      </c>
      <c r="B26" s="117" t="s">
        <v>38</v>
      </c>
      <c r="C26" s="112">
        <f t="shared" si="8"/>
        <v>6157.2639936819996</v>
      </c>
      <c r="D26" s="113">
        <f>268106807258/(10^9)</f>
        <v>268.106807258</v>
      </c>
      <c r="E26" s="113">
        <f>0/(10^9)</f>
        <v>0</v>
      </c>
      <c r="F26" s="113">
        <f>1192159578/(10^9)</f>
        <v>1.1921595780000001</v>
      </c>
      <c r="G26" s="113">
        <f>310113307381/(10^9)</f>
        <v>310.11330738100003</v>
      </c>
      <c r="H26" s="113">
        <f>11491420183/(10^9)</f>
        <v>11.491420183000001</v>
      </c>
      <c r="I26" s="113">
        <f>1894000/(10^9)</f>
        <v>1.8940000000000001E-3</v>
      </c>
      <c r="J26" s="113">
        <f>40733332000/(10^9)</f>
        <v>40.733331999999997</v>
      </c>
      <c r="K26" s="113">
        <f>868876328143/(10^9)</f>
        <v>868.87632814300002</v>
      </c>
      <c r="L26" s="113">
        <f t="shared" si="4"/>
        <v>0</v>
      </c>
      <c r="M26" s="113">
        <f>448752363139/(10^9)</f>
        <v>448.75236313900001</v>
      </c>
      <c r="N26" s="113">
        <f>44810406866/(10^9)</f>
        <v>44.810406866000001</v>
      </c>
      <c r="O26" s="113">
        <f>1841374830952/(10^9)</f>
        <v>1841.3748309519999</v>
      </c>
      <c r="P26" s="113">
        <f>30900610000/(10^9)</f>
        <v>30.90061</v>
      </c>
      <c r="Q26" s="113">
        <f>151446563949/(10^9)</f>
        <v>151.44656394899999</v>
      </c>
      <c r="R26" s="113">
        <f>2139463970233/(10^9)</f>
        <v>2139.4639702330001</v>
      </c>
      <c r="S26" s="114"/>
      <c r="AA26" s="105">
        <f t="shared" si="6"/>
        <v>6157.2639936819996</v>
      </c>
      <c r="AB26" s="105">
        <f t="shared" si="7"/>
        <v>0</v>
      </c>
    </row>
    <row r="27" spans="1:28" s="118" customFormat="1" ht="23.25" customHeight="1" x14ac:dyDescent="0.25">
      <c r="A27" s="100">
        <v>9</v>
      </c>
      <c r="B27" s="117" t="s">
        <v>39</v>
      </c>
      <c r="C27" s="112">
        <f t="shared" si="8"/>
        <v>7669.9140096250003</v>
      </c>
      <c r="D27" s="113">
        <f>589993261251/(10^9)</f>
        <v>589.99326125100004</v>
      </c>
      <c r="E27" s="113">
        <f>62526179339/(10^9)</f>
        <v>62.526179339000002</v>
      </c>
      <c r="F27" s="113">
        <f>1109430431422/(10^9)</f>
        <v>1109.4304314220001</v>
      </c>
      <c r="G27" s="113">
        <f>1917508173768/(10^9)</f>
        <v>1917.508173768</v>
      </c>
      <c r="H27" s="113">
        <f>43900564862/(10^9)</f>
        <v>43.900564862000003</v>
      </c>
      <c r="I27" s="113">
        <f t="shared" ref="I27:J29" si="9">0/(10^9)</f>
        <v>0</v>
      </c>
      <c r="J27" s="113">
        <f t="shared" si="9"/>
        <v>0</v>
      </c>
      <c r="K27" s="113">
        <f>2412395549002/(10^9)</f>
        <v>2412.3955490019998</v>
      </c>
      <c r="L27" s="113">
        <f t="shared" si="4"/>
        <v>0</v>
      </c>
      <c r="M27" s="113">
        <f>951113919414/(10^9)</f>
        <v>951.11391941399995</v>
      </c>
      <c r="N27" s="113">
        <f>54683081019/(10^9)</f>
        <v>54.683081018999999</v>
      </c>
      <c r="O27" s="113">
        <f>10784526781/(10^9)</f>
        <v>10.784526781</v>
      </c>
      <c r="P27" s="113">
        <f>0/(10^9)</f>
        <v>0</v>
      </c>
      <c r="Q27" s="113">
        <f>115602401592/(10^9)</f>
        <v>115.60240159200001</v>
      </c>
      <c r="R27" s="113">
        <f>401975921175/(10^9)</f>
        <v>401.975921175</v>
      </c>
      <c r="S27" s="114"/>
      <c r="AA27" s="105">
        <f t="shared" si="6"/>
        <v>7669.9140096250003</v>
      </c>
      <c r="AB27" s="105">
        <f t="shared" si="7"/>
        <v>0</v>
      </c>
    </row>
    <row r="28" spans="1:28" s="115" customFormat="1" ht="23.25" customHeight="1" x14ac:dyDescent="0.25">
      <c r="A28" s="100">
        <v>10</v>
      </c>
      <c r="B28" s="117" t="s">
        <v>40</v>
      </c>
      <c r="C28" s="112">
        <f t="shared" si="8"/>
        <v>282.84106917100002</v>
      </c>
      <c r="D28" s="113">
        <f>9102947057/(10^9)</f>
        <v>9.1029470569999997</v>
      </c>
      <c r="E28" s="113">
        <f>0/(10^9)</f>
        <v>0</v>
      </c>
      <c r="F28" s="113">
        <f>0/(10^9)</f>
        <v>0</v>
      </c>
      <c r="G28" s="113">
        <f>1942151090/(10^9)</f>
        <v>1.9421510900000001</v>
      </c>
      <c r="H28" s="113">
        <f>7184338459/(10^9)</f>
        <v>7.1843384590000001</v>
      </c>
      <c r="I28" s="113">
        <f t="shared" si="9"/>
        <v>0</v>
      </c>
      <c r="J28" s="113">
        <f t="shared" si="9"/>
        <v>0</v>
      </c>
      <c r="K28" s="113">
        <f>0/(10^9)</f>
        <v>0</v>
      </c>
      <c r="L28" s="113">
        <f t="shared" si="4"/>
        <v>0</v>
      </c>
      <c r="M28" s="113">
        <f>3117091893/(10^9)</f>
        <v>3.117091893</v>
      </c>
      <c r="N28" s="113">
        <f>0/(10^9)</f>
        <v>0</v>
      </c>
      <c r="O28" s="113">
        <f>0/(10^9)</f>
        <v>0</v>
      </c>
      <c r="P28" s="113">
        <f>0/(10^9)</f>
        <v>0</v>
      </c>
      <c r="Q28" s="113">
        <f>0/(10^9)</f>
        <v>0</v>
      </c>
      <c r="R28" s="113">
        <f>261494540672/(10^9)</f>
        <v>261.49454067200003</v>
      </c>
      <c r="S28" s="114"/>
      <c r="AA28" s="105">
        <f t="shared" si="6"/>
        <v>282.84106917100002</v>
      </c>
      <c r="AB28" s="105">
        <f t="shared" si="7"/>
        <v>0</v>
      </c>
    </row>
    <row r="29" spans="1:28" s="99" customFormat="1" ht="23.25" customHeight="1" x14ac:dyDescent="0.25">
      <c r="A29" s="100">
        <v>11</v>
      </c>
      <c r="B29" s="117" t="s">
        <v>41</v>
      </c>
      <c r="C29" s="112">
        <f t="shared" si="8"/>
        <v>1150.0751875363701</v>
      </c>
      <c r="D29" s="113">
        <f>1011435951547.37/(10^9)</f>
        <v>1011.43595154737</v>
      </c>
      <c r="E29" s="113">
        <f>3036636829/(10^9)</f>
        <v>3.0366368289999999</v>
      </c>
      <c r="F29" s="113">
        <f>0/(10^9)</f>
        <v>0</v>
      </c>
      <c r="G29" s="113">
        <f>1744002905/(10^9)</f>
        <v>1.7440029050000001</v>
      </c>
      <c r="H29" s="113">
        <f>0/(10^9)</f>
        <v>0</v>
      </c>
      <c r="I29" s="113">
        <f t="shared" si="9"/>
        <v>0</v>
      </c>
      <c r="J29" s="113">
        <f t="shared" si="9"/>
        <v>0</v>
      </c>
      <c r="K29" s="113">
        <f>101251939269/(10^9)</f>
        <v>101.251939269</v>
      </c>
      <c r="L29" s="113">
        <f t="shared" si="4"/>
        <v>0</v>
      </c>
      <c r="M29" s="113">
        <f>0/(10^9)</f>
        <v>0</v>
      </c>
      <c r="N29" s="113">
        <f>0/(10^9)</f>
        <v>0</v>
      </c>
      <c r="O29" s="113">
        <f>14271659093/(10^9)</f>
        <v>14.271659093</v>
      </c>
      <c r="P29" s="113">
        <f>0/(10^9)</f>
        <v>0</v>
      </c>
      <c r="Q29" s="113">
        <f>0/(10^9)</f>
        <v>0</v>
      </c>
      <c r="R29" s="113">
        <f>18334997893/(10^9)</f>
        <v>18.334997893000001</v>
      </c>
      <c r="S29" s="116"/>
      <c r="AA29" s="105">
        <f t="shared" si="6"/>
        <v>1150.0751875363701</v>
      </c>
      <c r="AB29" s="105">
        <f t="shared" si="7"/>
        <v>0</v>
      </c>
    </row>
    <row r="30" spans="1:28" s="120" customFormat="1" ht="23.25" customHeight="1" x14ac:dyDescent="0.25">
      <c r="A30" s="100">
        <v>12</v>
      </c>
      <c r="B30" s="117" t="s">
        <v>42</v>
      </c>
      <c r="C30" s="112">
        <f t="shared" si="8"/>
        <v>7060.1098311369997</v>
      </c>
      <c r="D30" s="113">
        <f>5232072526779/(10^9)</f>
        <v>5232.0725267790003</v>
      </c>
      <c r="E30" s="113">
        <f>21658713241/(10^9)</f>
        <v>21.658713241000001</v>
      </c>
      <c r="F30" s="113">
        <f>29443589537/(10^9)</f>
        <v>29.443589537000001</v>
      </c>
      <c r="G30" s="113">
        <f>13118618666/(10^9)</f>
        <v>13.118618666</v>
      </c>
      <c r="H30" s="113">
        <f>128379517261/(10^9)</f>
        <v>128.37951726099999</v>
      </c>
      <c r="I30" s="113">
        <f>0/(10^9)</f>
        <v>0</v>
      </c>
      <c r="J30" s="113">
        <f>503466426/(10^9)</f>
        <v>0.50346642600000002</v>
      </c>
      <c r="K30" s="113">
        <f>279387180895/(10^9)</f>
        <v>279.38718089499997</v>
      </c>
      <c r="L30" s="113">
        <f>25455486382/(10^9)</f>
        <v>25.455486382</v>
      </c>
      <c r="M30" s="113">
        <f>3907365407/(10^9)</f>
        <v>3.9073654069999999</v>
      </c>
      <c r="N30" s="113">
        <f>2289078710/(10^9)</f>
        <v>2.2890787100000001</v>
      </c>
      <c r="O30" s="113">
        <f>908537799686/(10^9)</f>
        <v>908.53779968599997</v>
      </c>
      <c r="P30" s="113">
        <f>0/(10^9)</f>
        <v>0</v>
      </c>
      <c r="Q30" s="113">
        <f>16988636/(10^9)</f>
        <v>1.6988636000000001E-2</v>
      </c>
      <c r="R30" s="113">
        <f>415339499511/(10^9)</f>
        <v>415.33949951099999</v>
      </c>
      <c r="S30" s="119"/>
      <c r="AA30" s="105">
        <f t="shared" si="6"/>
        <v>7060.1098311369997</v>
      </c>
      <c r="AB30" s="105">
        <f t="shared" si="7"/>
        <v>0</v>
      </c>
    </row>
    <row r="31" spans="1:28" s="120" customFormat="1" ht="23.25" customHeight="1" x14ac:dyDescent="0.25">
      <c r="A31" s="100">
        <v>13</v>
      </c>
      <c r="B31" s="117" t="s">
        <v>43</v>
      </c>
      <c r="C31" s="112">
        <f t="shared" si="8"/>
        <v>566.14075624926113</v>
      </c>
      <c r="D31" s="113">
        <f>433408724817.278/(10^9)</f>
        <v>433.40872481727803</v>
      </c>
      <c r="E31" s="113">
        <f>6769288118/(10^9)</f>
        <v>6.7692881180000004</v>
      </c>
      <c r="F31" s="113">
        <f>6601088859/(10^9)</f>
        <v>6.6010888589999999</v>
      </c>
      <c r="G31" s="113">
        <f>7656958749.98311/(10^9)</f>
        <v>7.6569587499831107</v>
      </c>
      <c r="H31" s="113">
        <f>3705855920/(10^9)</f>
        <v>3.7058559199999999</v>
      </c>
      <c r="I31" s="113">
        <f>0/(10^9)</f>
        <v>0</v>
      </c>
      <c r="J31" s="113">
        <f>0/(10^9)</f>
        <v>0</v>
      </c>
      <c r="K31" s="113">
        <f>0/(10^9)</f>
        <v>0</v>
      </c>
      <c r="L31" s="113">
        <f>20069015000/(10^9)</f>
        <v>20.069015</v>
      </c>
      <c r="M31" s="113">
        <f>4431417725/(10^9)</f>
        <v>4.4314177250000002</v>
      </c>
      <c r="N31" s="113">
        <f>0/(10^9)</f>
        <v>0</v>
      </c>
      <c r="O31" s="113">
        <f>14730732206/(10^9)</f>
        <v>14.730732206000001</v>
      </c>
      <c r="P31" s="113">
        <f>45893000/(10^9)</f>
        <v>4.5893000000000003E-2</v>
      </c>
      <c r="Q31" s="113">
        <f>0/(10^9)</f>
        <v>0</v>
      </c>
      <c r="R31" s="113">
        <f>68721781854/(10^9)</f>
        <v>68.721781854</v>
      </c>
      <c r="S31" s="119"/>
      <c r="AA31" s="105">
        <f t="shared" si="6"/>
        <v>566.14075624926113</v>
      </c>
      <c r="AB31" s="105">
        <f t="shared" si="7"/>
        <v>0</v>
      </c>
    </row>
    <row r="32" spans="1:28" s="120" customFormat="1" ht="23.25" customHeight="1" x14ac:dyDescent="0.25">
      <c r="A32" s="100">
        <v>14</v>
      </c>
      <c r="B32" s="117" t="s">
        <v>44</v>
      </c>
      <c r="C32" s="112">
        <f t="shared" si="8"/>
        <v>627.68871201156423</v>
      </c>
      <c r="D32" s="113">
        <f>425835378480.76/(10^9)</f>
        <v>425.83537848076003</v>
      </c>
      <c r="E32" s="113">
        <f>6170689075/(10^9)</f>
        <v>6.1706890750000003</v>
      </c>
      <c r="F32" s="113">
        <f>17581902070/(10^9)</f>
        <v>17.581902070000002</v>
      </c>
      <c r="G32" s="113">
        <f>3014632000/(10^9)</f>
        <v>3.0146320000000002</v>
      </c>
      <c r="H32" s="113">
        <f>7000407188/(10^9)</f>
        <v>7.0004071879999996</v>
      </c>
      <c r="I32" s="113">
        <f>0/(10^9)</f>
        <v>0</v>
      </c>
      <c r="J32" s="113">
        <f>273416937.804167/(10^9)</f>
        <v>0.27341693780416698</v>
      </c>
      <c r="K32" s="113">
        <f>164962056093/(10^9)</f>
        <v>164.962056093</v>
      </c>
      <c r="L32" s="113">
        <f>893000000/(10^9)</f>
        <v>0.89300000000000002</v>
      </c>
      <c r="M32" s="113">
        <f>1102057963/(10^9)</f>
        <v>1.102057963</v>
      </c>
      <c r="N32" s="113">
        <f>0/(10^9)</f>
        <v>0</v>
      </c>
      <c r="O32" s="113">
        <f>0/(10^9)</f>
        <v>0</v>
      </c>
      <c r="P32" s="113">
        <f>0/(10^9)</f>
        <v>0</v>
      </c>
      <c r="Q32" s="113">
        <f>0/(10^9)</f>
        <v>0</v>
      </c>
      <c r="R32" s="113">
        <f>855172204/(10^9)</f>
        <v>0.85517220400000005</v>
      </c>
      <c r="S32" s="119"/>
      <c r="AA32" s="105">
        <f t="shared" si="6"/>
        <v>627.68871201156423</v>
      </c>
      <c r="AB32" s="105">
        <f t="shared" si="7"/>
        <v>0</v>
      </c>
    </row>
    <row r="33" spans="1:28" s="120" customFormat="1" ht="23.25" customHeight="1" x14ac:dyDescent="0.25">
      <c r="A33" s="100">
        <v>15</v>
      </c>
      <c r="B33" s="117" t="s">
        <v>45</v>
      </c>
      <c r="C33" s="112">
        <f t="shared" si="8"/>
        <v>11701.468101331</v>
      </c>
      <c r="D33" s="113">
        <f>(5814711.823778*(10^6))/(10^9)</f>
        <v>5814.7118237779996</v>
      </c>
      <c r="E33" s="113">
        <f>(54237.966589*(10^6))/(10^9)</f>
        <v>54.237966589000003</v>
      </c>
      <c r="F33" s="113">
        <f>(74380.025372*(10^6))/(10^9)</f>
        <v>74.380025372000006</v>
      </c>
      <c r="G33" s="113">
        <f>(128357.446474*(10^6))/(10^9)</f>
        <v>128.357446474</v>
      </c>
      <c r="H33" s="113">
        <f>(16397.048677*(10^6))/(10^9)</f>
        <v>16.397048676999997</v>
      </c>
      <c r="I33" s="113">
        <f>(0*(10^6))/(10^9)</f>
        <v>0</v>
      </c>
      <c r="J33" s="113">
        <f>(6889.202019*(10^6))/(10^9)</f>
        <v>6.8892020189999998</v>
      </c>
      <c r="K33" s="113">
        <f>(3498624.327828*(10^6))/(10^9)</f>
        <v>3498.6243278279999</v>
      </c>
      <c r="L33" s="113">
        <f>(50845.084955*(10^6))/(10^9)</f>
        <v>50.845084954999997</v>
      </c>
      <c r="M33" s="113">
        <f>(61818.852986*(10^6))/(10^9)</f>
        <v>61.818852986000003</v>
      </c>
      <c r="N33" s="113">
        <f>(156630.698232*(10^6))/(10^9)</f>
        <v>156.63069823199999</v>
      </c>
      <c r="O33" s="113">
        <f>(257.219*(10^6))/(10^9)</f>
        <v>0.25721899999999998</v>
      </c>
      <c r="P33" s="113">
        <f>(0*(10^6))/(10^9)</f>
        <v>0</v>
      </c>
      <c r="Q33" s="113">
        <f>(79344.613402*(10^6))/(10^9)</f>
        <v>79.344613401999993</v>
      </c>
      <c r="R33" s="113">
        <f>(1758973.792019*(10^6))/(10^9)</f>
        <v>1758.973792019</v>
      </c>
      <c r="S33" s="119"/>
      <c r="AA33" s="105">
        <f t="shared" si="6"/>
        <v>11701.468101331</v>
      </c>
      <c r="AB33" s="105">
        <f t="shared" si="7"/>
        <v>0</v>
      </c>
    </row>
    <row r="34" spans="1:28" s="120" customFormat="1" ht="23.25" customHeight="1" x14ac:dyDescent="0.25">
      <c r="A34" s="100">
        <v>16</v>
      </c>
      <c r="B34" s="117" t="s">
        <v>46</v>
      </c>
      <c r="C34" s="112">
        <f t="shared" si="8"/>
        <v>608.10624630846041</v>
      </c>
      <c r="D34" s="113">
        <f>413448942614.783/(10^9)</f>
        <v>413.44894261478299</v>
      </c>
      <c r="E34" s="113">
        <f>55343012979/(10^9)</f>
        <v>55.343012979000001</v>
      </c>
      <c r="F34" s="113">
        <f>19520517809/(10^9)</f>
        <v>19.520517809000001</v>
      </c>
      <c r="G34" s="113">
        <f>13925284324/(10^9)</f>
        <v>13.925284324</v>
      </c>
      <c r="H34" s="113">
        <f>31577389561/(10^9)</f>
        <v>31.577389561</v>
      </c>
      <c r="I34" s="113">
        <f>0/(10^9)</f>
        <v>0</v>
      </c>
      <c r="J34" s="113">
        <f>0/(10^9)</f>
        <v>0</v>
      </c>
      <c r="K34" s="113">
        <f>23499781521/(10^9)</f>
        <v>23.499781520999999</v>
      </c>
      <c r="L34" s="113">
        <f>0/(10^9)</f>
        <v>0</v>
      </c>
      <c r="M34" s="113">
        <f>9769673649.67729/(10^9)</f>
        <v>9.7696736496772907</v>
      </c>
      <c r="N34" s="113">
        <f>5479517371/(10^9)</f>
        <v>5.479517371</v>
      </c>
      <c r="O34" s="113">
        <f>434722729/(10^9)</f>
        <v>0.43472272899999997</v>
      </c>
      <c r="P34" s="113">
        <f t="shared" ref="P34:Q36" si="10">0/(10^9)</f>
        <v>0</v>
      </c>
      <c r="Q34" s="113">
        <f t="shared" si="10"/>
        <v>0</v>
      </c>
      <c r="R34" s="113">
        <f>35107403750/(10^9)</f>
        <v>35.107403750000003</v>
      </c>
      <c r="S34" s="119"/>
      <c r="AA34" s="105">
        <f t="shared" si="6"/>
        <v>608.10624630846041</v>
      </c>
      <c r="AB34" s="105">
        <f t="shared" si="7"/>
        <v>0</v>
      </c>
    </row>
    <row r="35" spans="1:28" s="120" customFormat="1" ht="23.25" customHeight="1" x14ac:dyDescent="0.25">
      <c r="A35" s="100">
        <v>17</v>
      </c>
      <c r="B35" s="117" t="s">
        <v>47</v>
      </c>
      <c r="C35" s="112">
        <f t="shared" si="8"/>
        <v>692.75042437552156</v>
      </c>
      <c r="D35" s="113">
        <f>48608108064.6/(10^9)</f>
        <v>48.608108064599996</v>
      </c>
      <c r="E35" s="113">
        <f>1308556296/(10^9)</f>
        <v>1.3085562959999999</v>
      </c>
      <c r="F35" s="113">
        <f>6838435930/(10^9)</f>
        <v>6.8384359300000002</v>
      </c>
      <c r="G35" s="113">
        <f>119394207428/(10^9)</f>
        <v>119.394207428</v>
      </c>
      <c r="H35" s="113">
        <f>12616273374.2/(10^9)</f>
        <v>12.6162733742</v>
      </c>
      <c r="I35" s="113">
        <f t="shared" ref="I35:I40" si="11">0/(10^9)</f>
        <v>0</v>
      </c>
      <c r="J35" s="113">
        <f>944510448/(10^9)</f>
        <v>0.94451044799999995</v>
      </c>
      <c r="K35" s="113">
        <f>4520121097/(10^9)</f>
        <v>4.5201210969999996</v>
      </c>
      <c r="L35" s="113">
        <f>0/(10^9)</f>
        <v>0</v>
      </c>
      <c r="M35" s="113">
        <f>21423273015/(10^9)</f>
        <v>21.423273014999999</v>
      </c>
      <c r="N35" s="113">
        <f>10406778337.3215/(10^9)</f>
        <v>10.406778337321501</v>
      </c>
      <c r="O35" s="113">
        <f>0/(10^9)</f>
        <v>0</v>
      </c>
      <c r="P35" s="113">
        <f t="shared" si="10"/>
        <v>0</v>
      </c>
      <c r="Q35" s="113">
        <f t="shared" si="10"/>
        <v>0</v>
      </c>
      <c r="R35" s="113">
        <f>466690160385.4/(10^9)</f>
        <v>466.69016038540002</v>
      </c>
      <c r="S35" s="121"/>
      <c r="AA35" s="105">
        <f t="shared" si="6"/>
        <v>692.75042437552156</v>
      </c>
      <c r="AB35" s="105">
        <f t="shared" si="7"/>
        <v>0</v>
      </c>
    </row>
    <row r="36" spans="1:28" s="120" customFormat="1" ht="23.25" customHeight="1" x14ac:dyDescent="0.25">
      <c r="A36" s="100">
        <v>18</v>
      </c>
      <c r="B36" s="117" t="s">
        <v>48</v>
      </c>
      <c r="C36" s="112">
        <f t="shared" si="8"/>
        <v>1966.3578944860001</v>
      </c>
      <c r="D36" s="113">
        <f>1060657200000/(10^9)</f>
        <v>1060.6572000000001</v>
      </c>
      <c r="E36" s="113">
        <f>61289000000/(10^9)</f>
        <v>61.289000000000001</v>
      </c>
      <c r="F36" s="113">
        <f>19648000000/(10^9)</f>
        <v>19.648</v>
      </c>
      <c r="G36" s="113">
        <f>67309694000/(10^9)</f>
        <v>67.309693999999993</v>
      </c>
      <c r="H36" s="113">
        <f>7777000000/(10^9)</f>
        <v>7.7770000000000001</v>
      </c>
      <c r="I36" s="113">
        <f t="shared" si="11"/>
        <v>0</v>
      </c>
      <c r="J36" s="113">
        <f>0/(10^9)</f>
        <v>0</v>
      </c>
      <c r="K36" s="113">
        <f>280460000000/(10^9)</f>
        <v>280.45999999999998</v>
      </c>
      <c r="L36" s="113">
        <f>437000000/(10^9)</f>
        <v>0.437</v>
      </c>
      <c r="M36" s="113">
        <f>4808000000/(10^9)</f>
        <v>4.8079999999999998</v>
      </c>
      <c r="N36" s="113">
        <f>3204000000/(10^9)</f>
        <v>3.2040000000000002</v>
      </c>
      <c r="O36" s="113">
        <f>38688000000/(10^9)</f>
        <v>38.688000000000002</v>
      </c>
      <c r="P36" s="113">
        <f t="shared" si="10"/>
        <v>0</v>
      </c>
      <c r="Q36" s="113">
        <f t="shared" si="10"/>
        <v>0</v>
      </c>
      <c r="R36" s="113">
        <f>422080000486/(10^9)</f>
        <v>422.08000048600002</v>
      </c>
      <c r="S36" s="119"/>
      <c r="AA36" s="105">
        <f t="shared" si="6"/>
        <v>1966.3578944860001</v>
      </c>
      <c r="AB36" s="105">
        <f t="shared" si="7"/>
        <v>0</v>
      </c>
    </row>
    <row r="37" spans="1:28" s="120" customFormat="1" ht="23.25" customHeight="1" x14ac:dyDescent="0.25">
      <c r="A37" s="100">
        <v>19</v>
      </c>
      <c r="B37" s="117" t="s">
        <v>49</v>
      </c>
      <c r="C37" s="112">
        <f t="shared" si="8"/>
        <v>1075.9128347470003</v>
      </c>
      <c r="D37" s="113">
        <f>503301790725/(10^9)</f>
        <v>503.30179072499999</v>
      </c>
      <c r="E37" s="113">
        <f>74623114624/(10^9)</f>
        <v>74.623114623999996</v>
      </c>
      <c r="F37" s="113">
        <f>15296887038/(10^9)</f>
        <v>15.296887037999999</v>
      </c>
      <c r="G37" s="113">
        <f>32705088289/(10^9)</f>
        <v>32.705088289000003</v>
      </c>
      <c r="H37" s="113">
        <f>3983627828/(10^9)</f>
        <v>3.9836278279999999</v>
      </c>
      <c r="I37" s="113">
        <f t="shared" si="11"/>
        <v>0</v>
      </c>
      <c r="J37" s="113">
        <f>5636592873/(10^9)</f>
        <v>5.6365928729999997</v>
      </c>
      <c r="K37" s="113">
        <f>74742791223/(10^9)</f>
        <v>74.742791222999998</v>
      </c>
      <c r="L37" s="113">
        <f>76215789080/(10^9)</f>
        <v>76.215789079999993</v>
      </c>
      <c r="M37" s="113">
        <f>3478342000/(10^9)</f>
        <v>3.478342</v>
      </c>
      <c r="N37" s="113">
        <f>282785564010/(10^9)</f>
        <v>282.78556400999997</v>
      </c>
      <c r="O37" s="113">
        <f>53614000/(10^9)</f>
        <v>5.3614000000000002E-2</v>
      </c>
      <c r="P37" s="113">
        <f>0/(10^9)</f>
        <v>0</v>
      </c>
      <c r="Q37" s="113">
        <f>799200/(10^9)</f>
        <v>7.9920000000000002E-4</v>
      </c>
      <c r="R37" s="113">
        <f>3088833857/(10^9)</f>
        <v>3.088833857</v>
      </c>
      <c r="S37" s="121"/>
      <c r="T37" s="122"/>
      <c r="U37" s="122"/>
      <c r="V37" s="122"/>
      <c r="AA37" s="105">
        <f t="shared" si="6"/>
        <v>1075.9128347470003</v>
      </c>
      <c r="AB37" s="105">
        <f t="shared" si="7"/>
        <v>0</v>
      </c>
    </row>
    <row r="38" spans="1:28" s="120" customFormat="1" ht="23.25" customHeight="1" x14ac:dyDescent="0.25">
      <c r="A38" s="100">
        <v>20</v>
      </c>
      <c r="B38" s="117" t="s">
        <v>50</v>
      </c>
      <c r="C38" s="112">
        <f t="shared" si="8"/>
        <v>2045.4428144196399</v>
      </c>
      <c r="D38" s="113">
        <f>1002702260021.64/(10^9)</f>
        <v>1002.70226002164</v>
      </c>
      <c r="E38" s="113">
        <f>37638332996/(10^9)</f>
        <v>37.638332996000003</v>
      </c>
      <c r="F38" s="113">
        <f>225364937149/(10^9)</f>
        <v>225.36493714900001</v>
      </c>
      <c r="G38" s="113">
        <f>11428072744/(10^9)</f>
        <v>11.428072744</v>
      </c>
      <c r="H38" s="113">
        <f>65893388622.9999/(10^9)</f>
        <v>65.893388622999908</v>
      </c>
      <c r="I38" s="113">
        <f t="shared" si="11"/>
        <v>0</v>
      </c>
      <c r="J38" s="113">
        <f>0/(10^9)</f>
        <v>0</v>
      </c>
      <c r="K38" s="113">
        <f>165761760338/(10^9)</f>
        <v>165.76176033799999</v>
      </c>
      <c r="L38" s="113">
        <f>0/(10^9)</f>
        <v>0</v>
      </c>
      <c r="M38" s="113">
        <f>7551155874/(10^9)</f>
        <v>7.551155874</v>
      </c>
      <c r="N38" s="113">
        <f>29277000/(10^9)</f>
        <v>2.9277000000000001E-2</v>
      </c>
      <c r="O38" s="113">
        <f>0/(10^9)</f>
        <v>0</v>
      </c>
      <c r="P38" s="113">
        <f>0/(10^9)</f>
        <v>0</v>
      </c>
      <c r="Q38" s="113">
        <f>26365000000/(10^9)</f>
        <v>26.364999999999998</v>
      </c>
      <c r="R38" s="113">
        <f>502708629674/(10^9)</f>
        <v>502.70862967400001</v>
      </c>
      <c r="S38" s="121"/>
      <c r="T38" s="122">
        <v>206651427323</v>
      </c>
      <c r="AA38" s="105">
        <f t="shared" si="6"/>
        <v>2045.4428144196399</v>
      </c>
      <c r="AB38" s="105">
        <f t="shared" si="7"/>
        <v>0</v>
      </c>
    </row>
    <row r="39" spans="1:28" s="120" customFormat="1" ht="23.25" customHeight="1" x14ac:dyDescent="0.25">
      <c r="A39" s="100">
        <v>21</v>
      </c>
      <c r="B39" s="117" t="s">
        <v>51</v>
      </c>
      <c r="C39" s="112">
        <f t="shared" si="8"/>
        <v>1176.903177872</v>
      </c>
      <c r="D39" s="113">
        <f>577415908327/(10^9)</f>
        <v>577.41590832700001</v>
      </c>
      <c r="E39" s="113">
        <f>3918570307/(10^9)</f>
        <v>3.918570307</v>
      </c>
      <c r="F39" s="113">
        <f>16365363840/(10^9)</f>
        <v>16.365363840000001</v>
      </c>
      <c r="G39" s="113">
        <f>27551178018/(10^9)</f>
        <v>27.551178018000002</v>
      </c>
      <c r="H39" s="113">
        <f>27432287352/(10^9)</f>
        <v>27.432287351999999</v>
      </c>
      <c r="I39" s="113">
        <f t="shared" si="11"/>
        <v>0</v>
      </c>
      <c r="J39" s="113">
        <f>3921751342/(10^9)</f>
        <v>3.9217513419999999</v>
      </c>
      <c r="K39" s="113">
        <f>220807386000/(10^9)</f>
        <v>220.80738600000001</v>
      </c>
      <c r="L39" s="113">
        <f>0/(10^9)</f>
        <v>0</v>
      </c>
      <c r="M39" s="113">
        <f>3046264856/(10^9)</f>
        <v>3.0462648560000001</v>
      </c>
      <c r="N39" s="113">
        <f>7625480144/(10^9)</f>
        <v>7.625480144</v>
      </c>
      <c r="O39" s="113">
        <f>37036277034/(10^9)</f>
        <v>37.036277034000001</v>
      </c>
      <c r="P39" s="113">
        <f>0/(10^9)</f>
        <v>0</v>
      </c>
      <c r="Q39" s="113">
        <f>0/(10^9)</f>
        <v>0</v>
      </c>
      <c r="R39" s="113">
        <f>251782710652/(10^9)</f>
        <v>251.78271065199999</v>
      </c>
      <c r="S39" s="119"/>
      <c r="AA39" s="105">
        <f t="shared" si="6"/>
        <v>1176.903177872</v>
      </c>
      <c r="AB39" s="105">
        <f t="shared" si="7"/>
        <v>0</v>
      </c>
    </row>
    <row r="40" spans="1:28" s="120" customFormat="1" ht="23.25" customHeight="1" x14ac:dyDescent="0.25">
      <c r="A40" s="100">
        <v>22</v>
      </c>
      <c r="B40" s="117" t="s">
        <v>52</v>
      </c>
      <c r="C40" s="112">
        <f t="shared" si="8"/>
        <v>1046.446871375</v>
      </c>
      <c r="D40" s="113">
        <f>319184694098/(10^9)</f>
        <v>319.18469409800002</v>
      </c>
      <c r="E40" s="113">
        <f>4907926114/(10^9)</f>
        <v>4.9079261140000003</v>
      </c>
      <c r="F40" s="113">
        <f>7538152166/(10^9)</f>
        <v>7.5381521659999997</v>
      </c>
      <c r="G40" s="113">
        <f>15013982648/(10^9)</f>
        <v>15.013982648000001</v>
      </c>
      <c r="H40" s="113">
        <f>88859993818/(10^9)</f>
        <v>88.859993818000007</v>
      </c>
      <c r="I40" s="113">
        <f t="shared" si="11"/>
        <v>0</v>
      </c>
      <c r="J40" s="113">
        <f>0/(10^9)</f>
        <v>0</v>
      </c>
      <c r="K40" s="113">
        <f>0/(10^9)</f>
        <v>0</v>
      </c>
      <c r="L40" s="113">
        <f>0/(10^9)</f>
        <v>0</v>
      </c>
      <c r="M40" s="113">
        <f>9737201770/(10^9)</f>
        <v>9.7372017700000004</v>
      </c>
      <c r="N40" s="113">
        <f>231941149668/(10^9)</f>
        <v>231.94114966800001</v>
      </c>
      <c r="O40" s="113">
        <f>0/(10^9)</f>
        <v>0</v>
      </c>
      <c r="P40" s="113">
        <f>0/(10^9)</f>
        <v>0</v>
      </c>
      <c r="Q40" s="113">
        <f>0/(10^9)</f>
        <v>0</v>
      </c>
      <c r="R40" s="113">
        <f>369263771093/(10^9)</f>
        <v>369.263771093</v>
      </c>
      <c r="S40" s="119"/>
      <c r="AA40" s="105">
        <f t="shared" si="6"/>
        <v>1046.446871375</v>
      </c>
      <c r="AB40" s="105">
        <f t="shared" si="7"/>
        <v>0</v>
      </c>
    </row>
    <row r="41" spans="1:28" s="120" customFormat="1" ht="23.25" customHeight="1" x14ac:dyDescent="0.25">
      <c r="A41" s="100">
        <v>23</v>
      </c>
      <c r="B41" s="117" t="s">
        <v>53</v>
      </c>
      <c r="C41" s="112">
        <f t="shared" si="8"/>
        <v>1493.1422989654561</v>
      </c>
      <c r="D41" s="113">
        <f>1247332378591.02/(10^9)</f>
        <v>1247.33237859102</v>
      </c>
      <c r="E41" s="113">
        <f>288949000/(10^9)</f>
        <v>0.28894900000000001</v>
      </c>
      <c r="F41" s="113">
        <f>21130122231.3455/(10^9)</f>
        <v>21.130122231345499</v>
      </c>
      <c r="G41" s="113">
        <f>32537218822.5526/(10^9)</f>
        <v>32.537218822552603</v>
      </c>
      <c r="H41" s="113">
        <f>43362607974.7442/(10^9)</f>
        <v>43.362607974744201</v>
      </c>
      <c r="I41" s="113">
        <f>7797818/(10^9)</f>
        <v>7.7978179999999998E-3</v>
      </c>
      <c r="J41" s="113">
        <f>5312682990/(10^9)</f>
        <v>5.3126829899999999</v>
      </c>
      <c r="K41" s="113">
        <f>27079047232/(10^9)</f>
        <v>27.079047232000001</v>
      </c>
      <c r="L41" s="113">
        <f>25392773709/(10^9)</f>
        <v>25.392773709</v>
      </c>
      <c r="M41" s="113">
        <f>7907594582.79391/(10^9)</f>
        <v>7.9075945827939096</v>
      </c>
      <c r="N41" s="113">
        <f>666688000/(10^9)</f>
        <v>0.66668799999999995</v>
      </c>
      <c r="O41" s="113">
        <f>740057496/(10^9)</f>
        <v>0.74005749600000004</v>
      </c>
      <c r="P41" s="113">
        <f>0/(10^9)</f>
        <v>0</v>
      </c>
      <c r="Q41" s="113">
        <f>0/(10^9)</f>
        <v>0</v>
      </c>
      <c r="R41" s="113">
        <f>81384380518/(10^9)</f>
        <v>81.384380518</v>
      </c>
      <c r="S41" s="119"/>
      <c r="AA41" s="105">
        <f t="shared" si="6"/>
        <v>1493.1422989654561</v>
      </c>
      <c r="AB41" s="105">
        <f t="shared" si="7"/>
        <v>0</v>
      </c>
    </row>
  </sheetData>
  <mergeCells count="11">
    <mergeCell ref="S9:S10"/>
    <mergeCell ref="J1:S1"/>
    <mergeCell ref="A3:S3"/>
    <mergeCell ref="A4:S4"/>
    <mergeCell ref="A9:A10"/>
    <mergeCell ref="B9:B10"/>
    <mergeCell ref="C9:C10"/>
    <mergeCell ref="D9:H9"/>
    <mergeCell ref="I9:J9"/>
    <mergeCell ref="K9:O9"/>
    <mergeCell ref="P9:R9"/>
  </mergeCells>
  <pageMargins left="0.4" right="0.3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3CE10-BD3A-4F85-BB1E-0AD8E4E031A9}">
  <sheetPr>
    <tabColor rgb="FFFFFF00"/>
    <pageSetUpPr fitToPage="1"/>
  </sheetPr>
  <dimension ref="A1:AB36"/>
  <sheetViews>
    <sheetView topLeftCell="F1" zoomScale="90" zoomScaleNormal="85" zoomScalePageLayoutView="70" workbookViewId="0">
      <selection activeCell="Q12" sqref="Q12:R12"/>
    </sheetView>
  </sheetViews>
  <sheetFormatPr defaultColWidth="9" defaultRowHeight="12" x14ac:dyDescent="0.2"/>
  <cols>
    <col min="1" max="1" width="6.5703125" style="9" customWidth="1"/>
    <col min="2" max="2" width="26.85546875" style="10" customWidth="1"/>
    <col min="3" max="3" width="18.140625" style="81" customWidth="1"/>
    <col min="4" max="4" width="17.42578125" style="2" bestFit="1" customWidth="1"/>
    <col min="5" max="5" width="16.42578125" style="2" bestFit="1" customWidth="1"/>
    <col min="6" max="7" width="16.85546875" style="2" bestFit="1" customWidth="1"/>
    <col min="8" max="8" width="15.42578125" style="2" bestFit="1" customWidth="1"/>
    <col min="9" max="9" width="10" style="2" bestFit="1" customWidth="1"/>
    <col min="10" max="10" width="14" style="2" bestFit="1" customWidth="1"/>
    <col min="11" max="11" width="16.85546875" style="2" bestFit="1" customWidth="1"/>
    <col min="12" max="12" width="15" style="2" bestFit="1" customWidth="1"/>
    <col min="13" max="13" width="16.42578125" style="2" bestFit="1" customWidth="1"/>
    <col min="14" max="14" width="15.42578125" style="2" bestFit="1" customWidth="1"/>
    <col min="15" max="15" width="16.42578125" style="2" bestFit="1" customWidth="1"/>
    <col min="16" max="16" width="14" style="2" bestFit="1" customWidth="1"/>
    <col min="17" max="17" width="15.42578125" style="2" bestFit="1" customWidth="1"/>
    <col min="18" max="18" width="16.85546875" style="2" bestFit="1" customWidth="1"/>
    <col min="19" max="19" width="5.85546875" style="2" customWidth="1"/>
    <col min="20" max="20" width="14.42578125" style="2" hidden="1" customWidth="1"/>
    <col min="21" max="21" width="5" style="2" hidden="1" customWidth="1"/>
    <col min="22" max="26" width="0" style="2" hidden="1" customWidth="1"/>
    <col min="27" max="27" width="18.140625" style="2" hidden="1" customWidth="1"/>
    <col min="28" max="28" width="13.28515625" style="2" hidden="1" customWidth="1"/>
    <col min="29" max="256" width="9" style="2"/>
    <col min="257" max="257" width="5" style="2" bestFit="1" customWidth="1"/>
    <col min="258" max="258" width="22.85546875" style="2" customWidth="1"/>
    <col min="259" max="259" width="15.42578125" style="2" customWidth="1"/>
    <col min="260" max="260" width="14.5703125" style="2" customWidth="1"/>
    <col min="261" max="261" width="11.28515625" style="2" customWidth="1"/>
    <col min="262" max="262" width="5.85546875" style="2" customWidth="1"/>
    <col min="263" max="263" width="11.85546875" style="2" bestFit="1" customWidth="1"/>
    <col min="264" max="264" width="10.42578125" style="2" customWidth="1"/>
    <col min="265" max="265" width="5.5703125" style="2" customWidth="1"/>
    <col min="266" max="266" width="7.5703125" style="2" customWidth="1"/>
    <col min="267" max="267" width="13.140625" style="2" bestFit="1" customWidth="1"/>
    <col min="268" max="269" width="7" style="2" customWidth="1"/>
    <col min="270" max="270" width="11.140625" style="2" customWidth="1"/>
    <col min="271" max="271" width="12.5703125" style="2" bestFit="1" customWidth="1"/>
    <col min="272" max="272" width="10.42578125" style="2" customWidth="1"/>
    <col min="273" max="273" width="7.42578125" style="2" customWidth="1"/>
    <col min="274" max="274" width="15.85546875" style="2" bestFit="1" customWidth="1"/>
    <col min="275" max="275" width="5.85546875" style="2" customWidth="1"/>
    <col min="276" max="282" width="0" style="2" hidden="1" customWidth="1"/>
    <col min="283" max="512" width="9" style="2"/>
    <col min="513" max="513" width="5" style="2" bestFit="1" customWidth="1"/>
    <col min="514" max="514" width="22.85546875" style="2" customWidth="1"/>
    <col min="515" max="515" width="15.42578125" style="2" customWidth="1"/>
    <col min="516" max="516" width="14.5703125" style="2" customWidth="1"/>
    <col min="517" max="517" width="11.28515625" style="2" customWidth="1"/>
    <col min="518" max="518" width="5.85546875" style="2" customWidth="1"/>
    <col min="519" max="519" width="11.85546875" style="2" bestFit="1" customWidth="1"/>
    <col min="520" max="520" width="10.42578125" style="2" customWidth="1"/>
    <col min="521" max="521" width="5.5703125" style="2" customWidth="1"/>
    <col min="522" max="522" width="7.5703125" style="2" customWidth="1"/>
    <col min="523" max="523" width="13.140625" style="2" bestFit="1" customWidth="1"/>
    <col min="524" max="525" width="7" style="2" customWidth="1"/>
    <col min="526" max="526" width="11.140625" style="2" customWidth="1"/>
    <col min="527" max="527" width="12.5703125" style="2" bestFit="1" customWidth="1"/>
    <col min="528" max="528" width="10.42578125" style="2" customWidth="1"/>
    <col min="529" max="529" width="7.42578125" style="2" customWidth="1"/>
    <col min="530" max="530" width="15.85546875" style="2" bestFit="1" customWidth="1"/>
    <col min="531" max="531" width="5.85546875" style="2" customWidth="1"/>
    <col min="532" max="538" width="0" style="2" hidden="1" customWidth="1"/>
    <col min="539" max="768" width="9" style="2"/>
    <col min="769" max="769" width="5" style="2" bestFit="1" customWidth="1"/>
    <col min="770" max="770" width="22.85546875" style="2" customWidth="1"/>
    <col min="771" max="771" width="15.42578125" style="2" customWidth="1"/>
    <col min="772" max="772" width="14.5703125" style="2" customWidth="1"/>
    <col min="773" max="773" width="11.28515625" style="2" customWidth="1"/>
    <col min="774" max="774" width="5.85546875" style="2" customWidth="1"/>
    <col min="775" max="775" width="11.85546875" style="2" bestFit="1" customWidth="1"/>
    <col min="776" max="776" width="10.42578125" style="2" customWidth="1"/>
    <col min="777" max="777" width="5.5703125" style="2" customWidth="1"/>
    <col min="778" max="778" width="7.5703125" style="2" customWidth="1"/>
    <col min="779" max="779" width="13.140625" style="2" bestFit="1" customWidth="1"/>
    <col min="780" max="781" width="7" style="2" customWidth="1"/>
    <col min="782" max="782" width="11.140625" style="2" customWidth="1"/>
    <col min="783" max="783" width="12.5703125" style="2" bestFit="1" customWidth="1"/>
    <col min="784" max="784" width="10.42578125" style="2" customWidth="1"/>
    <col min="785" max="785" width="7.42578125" style="2" customWidth="1"/>
    <col min="786" max="786" width="15.85546875" style="2" bestFit="1" customWidth="1"/>
    <col min="787" max="787" width="5.85546875" style="2" customWidth="1"/>
    <col min="788" max="794" width="0" style="2" hidden="1" customWidth="1"/>
    <col min="795" max="1024" width="9" style="2"/>
    <col min="1025" max="1025" width="5" style="2" bestFit="1" customWidth="1"/>
    <col min="1026" max="1026" width="22.85546875" style="2" customWidth="1"/>
    <col min="1027" max="1027" width="15.42578125" style="2" customWidth="1"/>
    <col min="1028" max="1028" width="14.5703125" style="2" customWidth="1"/>
    <col min="1029" max="1029" width="11.28515625" style="2" customWidth="1"/>
    <col min="1030" max="1030" width="5.85546875" style="2" customWidth="1"/>
    <col min="1031" max="1031" width="11.85546875" style="2" bestFit="1" customWidth="1"/>
    <col min="1032" max="1032" width="10.42578125" style="2" customWidth="1"/>
    <col min="1033" max="1033" width="5.5703125" style="2" customWidth="1"/>
    <col min="1034" max="1034" width="7.5703125" style="2" customWidth="1"/>
    <col min="1035" max="1035" width="13.140625" style="2" bestFit="1" customWidth="1"/>
    <col min="1036" max="1037" width="7" style="2" customWidth="1"/>
    <col min="1038" max="1038" width="11.140625" style="2" customWidth="1"/>
    <col min="1039" max="1039" width="12.5703125" style="2" bestFit="1" customWidth="1"/>
    <col min="1040" max="1040" width="10.42578125" style="2" customWidth="1"/>
    <col min="1041" max="1041" width="7.42578125" style="2" customWidth="1"/>
    <col min="1042" max="1042" width="15.85546875" style="2" bestFit="1" customWidth="1"/>
    <col min="1043" max="1043" width="5.85546875" style="2" customWidth="1"/>
    <col min="1044" max="1050" width="0" style="2" hidden="1" customWidth="1"/>
    <col min="1051" max="1280" width="9" style="2"/>
    <col min="1281" max="1281" width="5" style="2" bestFit="1" customWidth="1"/>
    <col min="1282" max="1282" width="22.85546875" style="2" customWidth="1"/>
    <col min="1283" max="1283" width="15.42578125" style="2" customWidth="1"/>
    <col min="1284" max="1284" width="14.5703125" style="2" customWidth="1"/>
    <col min="1285" max="1285" width="11.28515625" style="2" customWidth="1"/>
    <col min="1286" max="1286" width="5.85546875" style="2" customWidth="1"/>
    <col min="1287" max="1287" width="11.85546875" style="2" bestFit="1" customWidth="1"/>
    <col min="1288" max="1288" width="10.42578125" style="2" customWidth="1"/>
    <col min="1289" max="1289" width="5.5703125" style="2" customWidth="1"/>
    <col min="1290" max="1290" width="7.5703125" style="2" customWidth="1"/>
    <col min="1291" max="1291" width="13.140625" style="2" bestFit="1" customWidth="1"/>
    <col min="1292" max="1293" width="7" style="2" customWidth="1"/>
    <col min="1294" max="1294" width="11.140625" style="2" customWidth="1"/>
    <col min="1295" max="1295" width="12.5703125" style="2" bestFit="1" customWidth="1"/>
    <col min="1296" max="1296" width="10.42578125" style="2" customWidth="1"/>
    <col min="1297" max="1297" width="7.42578125" style="2" customWidth="1"/>
    <col min="1298" max="1298" width="15.85546875" style="2" bestFit="1" customWidth="1"/>
    <col min="1299" max="1299" width="5.85546875" style="2" customWidth="1"/>
    <col min="1300" max="1306" width="0" style="2" hidden="1" customWidth="1"/>
    <col min="1307" max="1536" width="9" style="2"/>
    <col min="1537" max="1537" width="5" style="2" bestFit="1" customWidth="1"/>
    <col min="1538" max="1538" width="22.85546875" style="2" customWidth="1"/>
    <col min="1539" max="1539" width="15.42578125" style="2" customWidth="1"/>
    <col min="1540" max="1540" width="14.5703125" style="2" customWidth="1"/>
    <col min="1541" max="1541" width="11.28515625" style="2" customWidth="1"/>
    <col min="1542" max="1542" width="5.85546875" style="2" customWidth="1"/>
    <col min="1543" max="1543" width="11.85546875" style="2" bestFit="1" customWidth="1"/>
    <col min="1544" max="1544" width="10.42578125" style="2" customWidth="1"/>
    <col min="1545" max="1545" width="5.5703125" style="2" customWidth="1"/>
    <col min="1546" max="1546" width="7.5703125" style="2" customWidth="1"/>
    <col min="1547" max="1547" width="13.140625" style="2" bestFit="1" customWidth="1"/>
    <col min="1548" max="1549" width="7" style="2" customWidth="1"/>
    <col min="1550" max="1550" width="11.140625" style="2" customWidth="1"/>
    <col min="1551" max="1551" width="12.5703125" style="2" bestFit="1" customWidth="1"/>
    <col min="1552" max="1552" width="10.42578125" style="2" customWidth="1"/>
    <col min="1553" max="1553" width="7.42578125" style="2" customWidth="1"/>
    <col min="1554" max="1554" width="15.85546875" style="2" bestFit="1" customWidth="1"/>
    <col min="1555" max="1555" width="5.85546875" style="2" customWidth="1"/>
    <col min="1556" max="1562" width="0" style="2" hidden="1" customWidth="1"/>
    <col min="1563" max="1792" width="9" style="2"/>
    <col min="1793" max="1793" width="5" style="2" bestFit="1" customWidth="1"/>
    <col min="1794" max="1794" width="22.85546875" style="2" customWidth="1"/>
    <col min="1795" max="1795" width="15.42578125" style="2" customWidth="1"/>
    <col min="1796" max="1796" width="14.5703125" style="2" customWidth="1"/>
    <col min="1797" max="1797" width="11.28515625" style="2" customWidth="1"/>
    <col min="1798" max="1798" width="5.85546875" style="2" customWidth="1"/>
    <col min="1799" max="1799" width="11.85546875" style="2" bestFit="1" customWidth="1"/>
    <col min="1800" max="1800" width="10.42578125" style="2" customWidth="1"/>
    <col min="1801" max="1801" width="5.5703125" style="2" customWidth="1"/>
    <col min="1802" max="1802" width="7.5703125" style="2" customWidth="1"/>
    <col min="1803" max="1803" width="13.140625" style="2" bestFit="1" customWidth="1"/>
    <col min="1804" max="1805" width="7" style="2" customWidth="1"/>
    <col min="1806" max="1806" width="11.140625" style="2" customWidth="1"/>
    <col min="1807" max="1807" width="12.5703125" style="2" bestFit="1" customWidth="1"/>
    <col min="1808" max="1808" width="10.42578125" style="2" customWidth="1"/>
    <col min="1809" max="1809" width="7.42578125" style="2" customWidth="1"/>
    <col min="1810" max="1810" width="15.85546875" style="2" bestFit="1" customWidth="1"/>
    <col min="1811" max="1811" width="5.85546875" style="2" customWidth="1"/>
    <col min="1812" max="1818" width="0" style="2" hidden="1" customWidth="1"/>
    <col min="1819" max="2048" width="9" style="2"/>
    <col min="2049" max="2049" width="5" style="2" bestFit="1" customWidth="1"/>
    <col min="2050" max="2050" width="22.85546875" style="2" customWidth="1"/>
    <col min="2051" max="2051" width="15.42578125" style="2" customWidth="1"/>
    <col min="2052" max="2052" width="14.5703125" style="2" customWidth="1"/>
    <col min="2053" max="2053" width="11.28515625" style="2" customWidth="1"/>
    <col min="2054" max="2054" width="5.85546875" style="2" customWidth="1"/>
    <col min="2055" max="2055" width="11.85546875" style="2" bestFit="1" customWidth="1"/>
    <col min="2056" max="2056" width="10.42578125" style="2" customWidth="1"/>
    <col min="2057" max="2057" width="5.5703125" style="2" customWidth="1"/>
    <col min="2058" max="2058" width="7.5703125" style="2" customWidth="1"/>
    <col min="2059" max="2059" width="13.140625" style="2" bestFit="1" customWidth="1"/>
    <col min="2060" max="2061" width="7" style="2" customWidth="1"/>
    <col min="2062" max="2062" width="11.140625" style="2" customWidth="1"/>
    <col min="2063" max="2063" width="12.5703125" style="2" bestFit="1" customWidth="1"/>
    <col min="2064" max="2064" width="10.42578125" style="2" customWidth="1"/>
    <col min="2065" max="2065" width="7.42578125" style="2" customWidth="1"/>
    <col min="2066" max="2066" width="15.85546875" style="2" bestFit="1" customWidth="1"/>
    <col min="2067" max="2067" width="5.85546875" style="2" customWidth="1"/>
    <col min="2068" max="2074" width="0" style="2" hidden="1" customWidth="1"/>
    <col min="2075" max="2304" width="9" style="2"/>
    <col min="2305" max="2305" width="5" style="2" bestFit="1" customWidth="1"/>
    <col min="2306" max="2306" width="22.85546875" style="2" customWidth="1"/>
    <col min="2307" max="2307" width="15.42578125" style="2" customWidth="1"/>
    <col min="2308" max="2308" width="14.5703125" style="2" customWidth="1"/>
    <col min="2309" max="2309" width="11.28515625" style="2" customWidth="1"/>
    <col min="2310" max="2310" width="5.85546875" style="2" customWidth="1"/>
    <col min="2311" max="2311" width="11.85546875" style="2" bestFit="1" customWidth="1"/>
    <col min="2312" max="2312" width="10.42578125" style="2" customWidth="1"/>
    <col min="2313" max="2313" width="5.5703125" style="2" customWidth="1"/>
    <col min="2314" max="2314" width="7.5703125" style="2" customWidth="1"/>
    <col min="2315" max="2315" width="13.140625" style="2" bestFit="1" customWidth="1"/>
    <col min="2316" max="2317" width="7" style="2" customWidth="1"/>
    <col min="2318" max="2318" width="11.140625" style="2" customWidth="1"/>
    <col min="2319" max="2319" width="12.5703125" style="2" bestFit="1" customWidth="1"/>
    <col min="2320" max="2320" width="10.42578125" style="2" customWidth="1"/>
    <col min="2321" max="2321" width="7.42578125" style="2" customWidth="1"/>
    <col min="2322" max="2322" width="15.85546875" style="2" bestFit="1" customWidth="1"/>
    <col min="2323" max="2323" width="5.85546875" style="2" customWidth="1"/>
    <col min="2324" max="2330" width="0" style="2" hidden="1" customWidth="1"/>
    <col min="2331" max="2560" width="9" style="2"/>
    <col min="2561" max="2561" width="5" style="2" bestFit="1" customWidth="1"/>
    <col min="2562" max="2562" width="22.85546875" style="2" customWidth="1"/>
    <col min="2563" max="2563" width="15.42578125" style="2" customWidth="1"/>
    <col min="2564" max="2564" width="14.5703125" style="2" customWidth="1"/>
    <col min="2565" max="2565" width="11.28515625" style="2" customWidth="1"/>
    <col min="2566" max="2566" width="5.85546875" style="2" customWidth="1"/>
    <col min="2567" max="2567" width="11.85546875" style="2" bestFit="1" customWidth="1"/>
    <col min="2568" max="2568" width="10.42578125" style="2" customWidth="1"/>
    <col min="2569" max="2569" width="5.5703125" style="2" customWidth="1"/>
    <col min="2570" max="2570" width="7.5703125" style="2" customWidth="1"/>
    <col min="2571" max="2571" width="13.140625" style="2" bestFit="1" customWidth="1"/>
    <col min="2572" max="2573" width="7" style="2" customWidth="1"/>
    <col min="2574" max="2574" width="11.140625" style="2" customWidth="1"/>
    <col min="2575" max="2575" width="12.5703125" style="2" bestFit="1" customWidth="1"/>
    <col min="2576" max="2576" width="10.42578125" style="2" customWidth="1"/>
    <col min="2577" max="2577" width="7.42578125" style="2" customWidth="1"/>
    <col min="2578" max="2578" width="15.85546875" style="2" bestFit="1" customWidth="1"/>
    <col min="2579" max="2579" width="5.85546875" style="2" customWidth="1"/>
    <col min="2580" max="2586" width="0" style="2" hidden="1" customWidth="1"/>
    <col min="2587" max="2816" width="9" style="2"/>
    <col min="2817" max="2817" width="5" style="2" bestFit="1" customWidth="1"/>
    <col min="2818" max="2818" width="22.85546875" style="2" customWidth="1"/>
    <col min="2819" max="2819" width="15.42578125" style="2" customWidth="1"/>
    <col min="2820" max="2820" width="14.5703125" style="2" customWidth="1"/>
    <col min="2821" max="2821" width="11.28515625" style="2" customWidth="1"/>
    <col min="2822" max="2822" width="5.85546875" style="2" customWidth="1"/>
    <col min="2823" max="2823" width="11.85546875" style="2" bestFit="1" customWidth="1"/>
    <col min="2824" max="2824" width="10.42578125" style="2" customWidth="1"/>
    <col min="2825" max="2825" width="5.5703125" style="2" customWidth="1"/>
    <col min="2826" max="2826" width="7.5703125" style="2" customWidth="1"/>
    <col min="2827" max="2827" width="13.140625" style="2" bestFit="1" customWidth="1"/>
    <col min="2828" max="2829" width="7" style="2" customWidth="1"/>
    <col min="2830" max="2830" width="11.140625" style="2" customWidth="1"/>
    <col min="2831" max="2831" width="12.5703125" style="2" bestFit="1" customWidth="1"/>
    <col min="2832" max="2832" width="10.42578125" style="2" customWidth="1"/>
    <col min="2833" max="2833" width="7.42578125" style="2" customWidth="1"/>
    <col min="2834" max="2834" width="15.85546875" style="2" bestFit="1" customWidth="1"/>
    <col min="2835" max="2835" width="5.85546875" style="2" customWidth="1"/>
    <col min="2836" max="2842" width="0" style="2" hidden="1" customWidth="1"/>
    <col min="2843" max="3072" width="9" style="2"/>
    <col min="3073" max="3073" width="5" style="2" bestFit="1" customWidth="1"/>
    <col min="3074" max="3074" width="22.85546875" style="2" customWidth="1"/>
    <col min="3075" max="3075" width="15.42578125" style="2" customWidth="1"/>
    <col min="3076" max="3076" width="14.5703125" style="2" customWidth="1"/>
    <col min="3077" max="3077" width="11.28515625" style="2" customWidth="1"/>
    <col min="3078" max="3078" width="5.85546875" style="2" customWidth="1"/>
    <col min="3079" max="3079" width="11.85546875" style="2" bestFit="1" customWidth="1"/>
    <col min="3080" max="3080" width="10.42578125" style="2" customWidth="1"/>
    <col min="3081" max="3081" width="5.5703125" style="2" customWidth="1"/>
    <col min="3082" max="3082" width="7.5703125" style="2" customWidth="1"/>
    <col min="3083" max="3083" width="13.140625" style="2" bestFit="1" customWidth="1"/>
    <col min="3084" max="3085" width="7" style="2" customWidth="1"/>
    <col min="3086" max="3086" width="11.140625" style="2" customWidth="1"/>
    <col min="3087" max="3087" width="12.5703125" style="2" bestFit="1" customWidth="1"/>
    <col min="3088" max="3088" width="10.42578125" style="2" customWidth="1"/>
    <col min="3089" max="3089" width="7.42578125" style="2" customWidth="1"/>
    <col min="3090" max="3090" width="15.85546875" style="2" bestFit="1" customWidth="1"/>
    <col min="3091" max="3091" width="5.85546875" style="2" customWidth="1"/>
    <col min="3092" max="3098" width="0" style="2" hidden="1" customWidth="1"/>
    <col min="3099" max="3328" width="9" style="2"/>
    <col min="3329" max="3329" width="5" style="2" bestFit="1" customWidth="1"/>
    <col min="3330" max="3330" width="22.85546875" style="2" customWidth="1"/>
    <col min="3331" max="3331" width="15.42578125" style="2" customWidth="1"/>
    <col min="3332" max="3332" width="14.5703125" style="2" customWidth="1"/>
    <col min="3333" max="3333" width="11.28515625" style="2" customWidth="1"/>
    <col min="3334" max="3334" width="5.85546875" style="2" customWidth="1"/>
    <col min="3335" max="3335" width="11.85546875" style="2" bestFit="1" customWidth="1"/>
    <col min="3336" max="3336" width="10.42578125" style="2" customWidth="1"/>
    <col min="3337" max="3337" width="5.5703125" style="2" customWidth="1"/>
    <col min="3338" max="3338" width="7.5703125" style="2" customWidth="1"/>
    <col min="3339" max="3339" width="13.140625" style="2" bestFit="1" customWidth="1"/>
    <col min="3340" max="3341" width="7" style="2" customWidth="1"/>
    <col min="3342" max="3342" width="11.140625" style="2" customWidth="1"/>
    <col min="3343" max="3343" width="12.5703125" style="2" bestFit="1" customWidth="1"/>
    <col min="3344" max="3344" width="10.42578125" style="2" customWidth="1"/>
    <col min="3345" max="3345" width="7.42578125" style="2" customWidth="1"/>
    <col min="3346" max="3346" width="15.85546875" style="2" bestFit="1" customWidth="1"/>
    <col min="3347" max="3347" width="5.85546875" style="2" customWidth="1"/>
    <col min="3348" max="3354" width="0" style="2" hidden="1" customWidth="1"/>
    <col min="3355" max="3584" width="9" style="2"/>
    <col min="3585" max="3585" width="5" style="2" bestFit="1" customWidth="1"/>
    <col min="3586" max="3586" width="22.85546875" style="2" customWidth="1"/>
    <col min="3587" max="3587" width="15.42578125" style="2" customWidth="1"/>
    <col min="3588" max="3588" width="14.5703125" style="2" customWidth="1"/>
    <col min="3589" max="3589" width="11.28515625" style="2" customWidth="1"/>
    <col min="3590" max="3590" width="5.85546875" style="2" customWidth="1"/>
    <col min="3591" max="3591" width="11.85546875" style="2" bestFit="1" customWidth="1"/>
    <col min="3592" max="3592" width="10.42578125" style="2" customWidth="1"/>
    <col min="3593" max="3593" width="5.5703125" style="2" customWidth="1"/>
    <col min="3594" max="3594" width="7.5703125" style="2" customWidth="1"/>
    <col min="3595" max="3595" width="13.140625" style="2" bestFit="1" customWidth="1"/>
    <col min="3596" max="3597" width="7" style="2" customWidth="1"/>
    <col min="3598" max="3598" width="11.140625" style="2" customWidth="1"/>
    <col min="3599" max="3599" width="12.5703125" style="2" bestFit="1" customWidth="1"/>
    <col min="3600" max="3600" width="10.42578125" style="2" customWidth="1"/>
    <col min="3601" max="3601" width="7.42578125" style="2" customWidth="1"/>
    <col min="3602" max="3602" width="15.85546875" style="2" bestFit="1" customWidth="1"/>
    <col min="3603" max="3603" width="5.85546875" style="2" customWidth="1"/>
    <col min="3604" max="3610" width="0" style="2" hidden="1" customWidth="1"/>
    <col min="3611" max="3840" width="9" style="2"/>
    <col min="3841" max="3841" width="5" style="2" bestFit="1" customWidth="1"/>
    <col min="3842" max="3842" width="22.85546875" style="2" customWidth="1"/>
    <col min="3843" max="3843" width="15.42578125" style="2" customWidth="1"/>
    <col min="3844" max="3844" width="14.5703125" style="2" customWidth="1"/>
    <col min="3845" max="3845" width="11.28515625" style="2" customWidth="1"/>
    <col min="3846" max="3846" width="5.85546875" style="2" customWidth="1"/>
    <col min="3847" max="3847" width="11.85546875" style="2" bestFit="1" customWidth="1"/>
    <col min="3848" max="3848" width="10.42578125" style="2" customWidth="1"/>
    <col min="3849" max="3849" width="5.5703125" style="2" customWidth="1"/>
    <col min="3850" max="3850" width="7.5703125" style="2" customWidth="1"/>
    <col min="3851" max="3851" width="13.140625" style="2" bestFit="1" customWidth="1"/>
    <col min="3852" max="3853" width="7" style="2" customWidth="1"/>
    <col min="3854" max="3854" width="11.140625" style="2" customWidth="1"/>
    <col min="3855" max="3855" width="12.5703125" style="2" bestFit="1" customWidth="1"/>
    <col min="3856" max="3856" width="10.42578125" style="2" customWidth="1"/>
    <col min="3857" max="3857" width="7.42578125" style="2" customWidth="1"/>
    <col min="3858" max="3858" width="15.85546875" style="2" bestFit="1" customWidth="1"/>
    <col min="3859" max="3859" width="5.85546875" style="2" customWidth="1"/>
    <col min="3860" max="3866" width="0" style="2" hidden="1" customWidth="1"/>
    <col min="3867" max="4096" width="9" style="2"/>
    <col min="4097" max="4097" width="5" style="2" bestFit="1" customWidth="1"/>
    <col min="4098" max="4098" width="22.85546875" style="2" customWidth="1"/>
    <col min="4099" max="4099" width="15.42578125" style="2" customWidth="1"/>
    <col min="4100" max="4100" width="14.5703125" style="2" customWidth="1"/>
    <col min="4101" max="4101" width="11.28515625" style="2" customWidth="1"/>
    <col min="4102" max="4102" width="5.85546875" style="2" customWidth="1"/>
    <col min="4103" max="4103" width="11.85546875" style="2" bestFit="1" customWidth="1"/>
    <col min="4104" max="4104" width="10.42578125" style="2" customWidth="1"/>
    <col min="4105" max="4105" width="5.5703125" style="2" customWidth="1"/>
    <col min="4106" max="4106" width="7.5703125" style="2" customWidth="1"/>
    <col min="4107" max="4107" width="13.140625" style="2" bestFit="1" customWidth="1"/>
    <col min="4108" max="4109" width="7" style="2" customWidth="1"/>
    <col min="4110" max="4110" width="11.140625" style="2" customWidth="1"/>
    <col min="4111" max="4111" width="12.5703125" style="2" bestFit="1" customWidth="1"/>
    <col min="4112" max="4112" width="10.42578125" style="2" customWidth="1"/>
    <col min="4113" max="4113" width="7.42578125" style="2" customWidth="1"/>
    <col min="4114" max="4114" width="15.85546875" style="2" bestFit="1" customWidth="1"/>
    <col min="4115" max="4115" width="5.85546875" style="2" customWidth="1"/>
    <col min="4116" max="4122" width="0" style="2" hidden="1" customWidth="1"/>
    <col min="4123" max="4352" width="9" style="2"/>
    <col min="4353" max="4353" width="5" style="2" bestFit="1" customWidth="1"/>
    <col min="4354" max="4354" width="22.85546875" style="2" customWidth="1"/>
    <col min="4355" max="4355" width="15.42578125" style="2" customWidth="1"/>
    <col min="4356" max="4356" width="14.5703125" style="2" customWidth="1"/>
    <col min="4357" max="4357" width="11.28515625" style="2" customWidth="1"/>
    <col min="4358" max="4358" width="5.85546875" style="2" customWidth="1"/>
    <col min="4359" max="4359" width="11.85546875" style="2" bestFit="1" customWidth="1"/>
    <col min="4360" max="4360" width="10.42578125" style="2" customWidth="1"/>
    <col min="4361" max="4361" width="5.5703125" style="2" customWidth="1"/>
    <col min="4362" max="4362" width="7.5703125" style="2" customWidth="1"/>
    <col min="4363" max="4363" width="13.140625" style="2" bestFit="1" customWidth="1"/>
    <col min="4364" max="4365" width="7" style="2" customWidth="1"/>
    <col min="4366" max="4366" width="11.140625" style="2" customWidth="1"/>
    <col min="4367" max="4367" width="12.5703125" style="2" bestFit="1" customWidth="1"/>
    <col min="4368" max="4368" width="10.42578125" style="2" customWidth="1"/>
    <col min="4369" max="4369" width="7.42578125" style="2" customWidth="1"/>
    <col min="4370" max="4370" width="15.85546875" style="2" bestFit="1" customWidth="1"/>
    <col min="4371" max="4371" width="5.85546875" style="2" customWidth="1"/>
    <col min="4372" max="4378" width="0" style="2" hidden="1" customWidth="1"/>
    <col min="4379" max="4608" width="9" style="2"/>
    <col min="4609" max="4609" width="5" style="2" bestFit="1" customWidth="1"/>
    <col min="4610" max="4610" width="22.85546875" style="2" customWidth="1"/>
    <col min="4611" max="4611" width="15.42578125" style="2" customWidth="1"/>
    <col min="4612" max="4612" width="14.5703125" style="2" customWidth="1"/>
    <col min="4613" max="4613" width="11.28515625" style="2" customWidth="1"/>
    <col min="4614" max="4614" width="5.85546875" style="2" customWidth="1"/>
    <col min="4615" max="4615" width="11.85546875" style="2" bestFit="1" customWidth="1"/>
    <col min="4616" max="4616" width="10.42578125" style="2" customWidth="1"/>
    <col min="4617" max="4617" width="5.5703125" style="2" customWidth="1"/>
    <col min="4618" max="4618" width="7.5703125" style="2" customWidth="1"/>
    <col min="4619" max="4619" width="13.140625" style="2" bestFit="1" customWidth="1"/>
    <col min="4620" max="4621" width="7" style="2" customWidth="1"/>
    <col min="4622" max="4622" width="11.140625" style="2" customWidth="1"/>
    <col min="4623" max="4623" width="12.5703125" style="2" bestFit="1" customWidth="1"/>
    <col min="4624" max="4624" width="10.42578125" style="2" customWidth="1"/>
    <col min="4625" max="4625" width="7.42578125" style="2" customWidth="1"/>
    <col min="4626" max="4626" width="15.85546875" style="2" bestFit="1" customWidth="1"/>
    <col min="4627" max="4627" width="5.85546875" style="2" customWidth="1"/>
    <col min="4628" max="4634" width="0" style="2" hidden="1" customWidth="1"/>
    <col min="4635" max="4864" width="9" style="2"/>
    <col min="4865" max="4865" width="5" style="2" bestFit="1" customWidth="1"/>
    <col min="4866" max="4866" width="22.85546875" style="2" customWidth="1"/>
    <col min="4867" max="4867" width="15.42578125" style="2" customWidth="1"/>
    <col min="4868" max="4868" width="14.5703125" style="2" customWidth="1"/>
    <col min="4869" max="4869" width="11.28515625" style="2" customWidth="1"/>
    <col min="4870" max="4870" width="5.85546875" style="2" customWidth="1"/>
    <col min="4871" max="4871" width="11.85546875" style="2" bestFit="1" customWidth="1"/>
    <col min="4872" max="4872" width="10.42578125" style="2" customWidth="1"/>
    <col min="4873" max="4873" width="5.5703125" style="2" customWidth="1"/>
    <col min="4874" max="4874" width="7.5703125" style="2" customWidth="1"/>
    <col min="4875" max="4875" width="13.140625" style="2" bestFit="1" customWidth="1"/>
    <col min="4876" max="4877" width="7" style="2" customWidth="1"/>
    <col min="4878" max="4878" width="11.140625" style="2" customWidth="1"/>
    <col min="4879" max="4879" width="12.5703125" style="2" bestFit="1" customWidth="1"/>
    <col min="4880" max="4880" width="10.42578125" style="2" customWidth="1"/>
    <col min="4881" max="4881" width="7.42578125" style="2" customWidth="1"/>
    <col min="4882" max="4882" width="15.85546875" style="2" bestFit="1" customWidth="1"/>
    <col min="4883" max="4883" width="5.85546875" style="2" customWidth="1"/>
    <col min="4884" max="4890" width="0" style="2" hidden="1" customWidth="1"/>
    <col min="4891" max="5120" width="9" style="2"/>
    <col min="5121" max="5121" width="5" style="2" bestFit="1" customWidth="1"/>
    <col min="5122" max="5122" width="22.85546875" style="2" customWidth="1"/>
    <col min="5123" max="5123" width="15.42578125" style="2" customWidth="1"/>
    <col min="5124" max="5124" width="14.5703125" style="2" customWidth="1"/>
    <col min="5125" max="5125" width="11.28515625" style="2" customWidth="1"/>
    <col min="5126" max="5126" width="5.85546875" style="2" customWidth="1"/>
    <col min="5127" max="5127" width="11.85546875" style="2" bestFit="1" customWidth="1"/>
    <col min="5128" max="5128" width="10.42578125" style="2" customWidth="1"/>
    <col min="5129" max="5129" width="5.5703125" style="2" customWidth="1"/>
    <col min="5130" max="5130" width="7.5703125" style="2" customWidth="1"/>
    <col min="5131" max="5131" width="13.140625" style="2" bestFit="1" customWidth="1"/>
    <col min="5132" max="5133" width="7" style="2" customWidth="1"/>
    <col min="5134" max="5134" width="11.140625" style="2" customWidth="1"/>
    <col min="5135" max="5135" width="12.5703125" style="2" bestFit="1" customWidth="1"/>
    <col min="5136" max="5136" width="10.42578125" style="2" customWidth="1"/>
    <col min="5137" max="5137" width="7.42578125" style="2" customWidth="1"/>
    <col min="5138" max="5138" width="15.85546875" style="2" bestFit="1" customWidth="1"/>
    <col min="5139" max="5139" width="5.85546875" style="2" customWidth="1"/>
    <col min="5140" max="5146" width="0" style="2" hidden="1" customWidth="1"/>
    <col min="5147" max="5376" width="9" style="2"/>
    <col min="5377" max="5377" width="5" style="2" bestFit="1" customWidth="1"/>
    <col min="5378" max="5378" width="22.85546875" style="2" customWidth="1"/>
    <col min="5379" max="5379" width="15.42578125" style="2" customWidth="1"/>
    <col min="5380" max="5380" width="14.5703125" style="2" customWidth="1"/>
    <col min="5381" max="5381" width="11.28515625" style="2" customWidth="1"/>
    <col min="5382" max="5382" width="5.85546875" style="2" customWidth="1"/>
    <col min="5383" max="5383" width="11.85546875" style="2" bestFit="1" customWidth="1"/>
    <col min="5384" max="5384" width="10.42578125" style="2" customWidth="1"/>
    <col min="5385" max="5385" width="5.5703125" style="2" customWidth="1"/>
    <col min="5386" max="5386" width="7.5703125" style="2" customWidth="1"/>
    <col min="5387" max="5387" width="13.140625" style="2" bestFit="1" customWidth="1"/>
    <col min="5388" max="5389" width="7" style="2" customWidth="1"/>
    <col min="5390" max="5390" width="11.140625" style="2" customWidth="1"/>
    <col min="5391" max="5391" width="12.5703125" style="2" bestFit="1" customWidth="1"/>
    <col min="5392" max="5392" width="10.42578125" style="2" customWidth="1"/>
    <col min="5393" max="5393" width="7.42578125" style="2" customWidth="1"/>
    <col min="5394" max="5394" width="15.85546875" style="2" bestFit="1" customWidth="1"/>
    <col min="5395" max="5395" width="5.85546875" style="2" customWidth="1"/>
    <col min="5396" max="5402" width="0" style="2" hidden="1" customWidth="1"/>
    <col min="5403" max="5632" width="9" style="2"/>
    <col min="5633" max="5633" width="5" style="2" bestFit="1" customWidth="1"/>
    <col min="5634" max="5634" width="22.85546875" style="2" customWidth="1"/>
    <col min="5635" max="5635" width="15.42578125" style="2" customWidth="1"/>
    <col min="5636" max="5636" width="14.5703125" style="2" customWidth="1"/>
    <col min="5637" max="5637" width="11.28515625" style="2" customWidth="1"/>
    <col min="5638" max="5638" width="5.85546875" style="2" customWidth="1"/>
    <col min="5639" max="5639" width="11.85546875" style="2" bestFit="1" customWidth="1"/>
    <col min="5640" max="5640" width="10.42578125" style="2" customWidth="1"/>
    <col min="5641" max="5641" width="5.5703125" style="2" customWidth="1"/>
    <col min="5642" max="5642" width="7.5703125" style="2" customWidth="1"/>
    <col min="5643" max="5643" width="13.140625" style="2" bestFit="1" customWidth="1"/>
    <col min="5644" max="5645" width="7" style="2" customWidth="1"/>
    <col min="5646" max="5646" width="11.140625" style="2" customWidth="1"/>
    <col min="5647" max="5647" width="12.5703125" style="2" bestFit="1" customWidth="1"/>
    <col min="5648" max="5648" width="10.42578125" style="2" customWidth="1"/>
    <col min="5649" max="5649" width="7.42578125" style="2" customWidth="1"/>
    <col min="5650" max="5650" width="15.85546875" style="2" bestFit="1" customWidth="1"/>
    <col min="5651" max="5651" width="5.85546875" style="2" customWidth="1"/>
    <col min="5652" max="5658" width="0" style="2" hidden="1" customWidth="1"/>
    <col min="5659" max="5888" width="9" style="2"/>
    <col min="5889" max="5889" width="5" style="2" bestFit="1" customWidth="1"/>
    <col min="5890" max="5890" width="22.85546875" style="2" customWidth="1"/>
    <col min="5891" max="5891" width="15.42578125" style="2" customWidth="1"/>
    <col min="5892" max="5892" width="14.5703125" style="2" customWidth="1"/>
    <col min="5893" max="5893" width="11.28515625" style="2" customWidth="1"/>
    <col min="5894" max="5894" width="5.85546875" style="2" customWidth="1"/>
    <col min="5895" max="5895" width="11.85546875" style="2" bestFit="1" customWidth="1"/>
    <col min="5896" max="5896" width="10.42578125" style="2" customWidth="1"/>
    <col min="5897" max="5897" width="5.5703125" style="2" customWidth="1"/>
    <col min="5898" max="5898" width="7.5703125" style="2" customWidth="1"/>
    <col min="5899" max="5899" width="13.140625" style="2" bestFit="1" customWidth="1"/>
    <col min="5900" max="5901" width="7" style="2" customWidth="1"/>
    <col min="5902" max="5902" width="11.140625" style="2" customWidth="1"/>
    <col min="5903" max="5903" width="12.5703125" style="2" bestFit="1" customWidth="1"/>
    <col min="5904" max="5904" width="10.42578125" style="2" customWidth="1"/>
    <col min="5905" max="5905" width="7.42578125" style="2" customWidth="1"/>
    <col min="5906" max="5906" width="15.85546875" style="2" bestFit="1" customWidth="1"/>
    <col min="5907" max="5907" width="5.85546875" style="2" customWidth="1"/>
    <col min="5908" max="5914" width="0" style="2" hidden="1" customWidth="1"/>
    <col min="5915" max="6144" width="9" style="2"/>
    <col min="6145" max="6145" width="5" style="2" bestFit="1" customWidth="1"/>
    <col min="6146" max="6146" width="22.85546875" style="2" customWidth="1"/>
    <col min="6147" max="6147" width="15.42578125" style="2" customWidth="1"/>
    <col min="6148" max="6148" width="14.5703125" style="2" customWidth="1"/>
    <col min="6149" max="6149" width="11.28515625" style="2" customWidth="1"/>
    <col min="6150" max="6150" width="5.85546875" style="2" customWidth="1"/>
    <col min="6151" max="6151" width="11.85546875" style="2" bestFit="1" customWidth="1"/>
    <col min="6152" max="6152" width="10.42578125" style="2" customWidth="1"/>
    <col min="6153" max="6153" width="5.5703125" style="2" customWidth="1"/>
    <col min="6154" max="6154" width="7.5703125" style="2" customWidth="1"/>
    <col min="6155" max="6155" width="13.140625" style="2" bestFit="1" customWidth="1"/>
    <col min="6156" max="6157" width="7" style="2" customWidth="1"/>
    <col min="6158" max="6158" width="11.140625" style="2" customWidth="1"/>
    <col min="6159" max="6159" width="12.5703125" style="2" bestFit="1" customWidth="1"/>
    <col min="6160" max="6160" width="10.42578125" style="2" customWidth="1"/>
    <col min="6161" max="6161" width="7.42578125" style="2" customWidth="1"/>
    <col min="6162" max="6162" width="15.85546875" style="2" bestFit="1" customWidth="1"/>
    <col min="6163" max="6163" width="5.85546875" style="2" customWidth="1"/>
    <col min="6164" max="6170" width="0" style="2" hidden="1" customWidth="1"/>
    <col min="6171" max="6400" width="9" style="2"/>
    <col min="6401" max="6401" width="5" style="2" bestFit="1" customWidth="1"/>
    <col min="6402" max="6402" width="22.85546875" style="2" customWidth="1"/>
    <col min="6403" max="6403" width="15.42578125" style="2" customWidth="1"/>
    <col min="6404" max="6404" width="14.5703125" style="2" customWidth="1"/>
    <col min="6405" max="6405" width="11.28515625" style="2" customWidth="1"/>
    <col min="6406" max="6406" width="5.85546875" style="2" customWidth="1"/>
    <col min="6407" max="6407" width="11.85546875" style="2" bestFit="1" customWidth="1"/>
    <col min="6408" max="6408" width="10.42578125" style="2" customWidth="1"/>
    <col min="6409" max="6409" width="5.5703125" style="2" customWidth="1"/>
    <col min="6410" max="6410" width="7.5703125" style="2" customWidth="1"/>
    <col min="6411" max="6411" width="13.140625" style="2" bestFit="1" customWidth="1"/>
    <col min="6412" max="6413" width="7" style="2" customWidth="1"/>
    <col min="6414" max="6414" width="11.140625" style="2" customWidth="1"/>
    <col min="6415" max="6415" width="12.5703125" style="2" bestFit="1" customWidth="1"/>
    <col min="6416" max="6416" width="10.42578125" style="2" customWidth="1"/>
    <col min="6417" max="6417" width="7.42578125" style="2" customWidth="1"/>
    <col min="6418" max="6418" width="15.85546875" style="2" bestFit="1" customWidth="1"/>
    <col min="6419" max="6419" width="5.85546875" style="2" customWidth="1"/>
    <col min="6420" max="6426" width="0" style="2" hidden="1" customWidth="1"/>
    <col min="6427" max="6656" width="9" style="2"/>
    <col min="6657" max="6657" width="5" style="2" bestFit="1" customWidth="1"/>
    <col min="6658" max="6658" width="22.85546875" style="2" customWidth="1"/>
    <col min="6659" max="6659" width="15.42578125" style="2" customWidth="1"/>
    <col min="6660" max="6660" width="14.5703125" style="2" customWidth="1"/>
    <col min="6661" max="6661" width="11.28515625" style="2" customWidth="1"/>
    <col min="6662" max="6662" width="5.85546875" style="2" customWidth="1"/>
    <col min="6663" max="6663" width="11.85546875" style="2" bestFit="1" customWidth="1"/>
    <col min="6664" max="6664" width="10.42578125" style="2" customWidth="1"/>
    <col min="6665" max="6665" width="5.5703125" style="2" customWidth="1"/>
    <col min="6666" max="6666" width="7.5703125" style="2" customWidth="1"/>
    <col min="6667" max="6667" width="13.140625" style="2" bestFit="1" customWidth="1"/>
    <col min="6668" max="6669" width="7" style="2" customWidth="1"/>
    <col min="6670" max="6670" width="11.140625" style="2" customWidth="1"/>
    <col min="6671" max="6671" width="12.5703125" style="2" bestFit="1" customWidth="1"/>
    <col min="6672" max="6672" width="10.42578125" style="2" customWidth="1"/>
    <col min="6673" max="6673" width="7.42578125" style="2" customWidth="1"/>
    <col min="6674" max="6674" width="15.85546875" style="2" bestFit="1" customWidth="1"/>
    <col min="6675" max="6675" width="5.85546875" style="2" customWidth="1"/>
    <col min="6676" max="6682" width="0" style="2" hidden="1" customWidth="1"/>
    <col min="6683" max="6912" width="9" style="2"/>
    <col min="6913" max="6913" width="5" style="2" bestFit="1" customWidth="1"/>
    <col min="6914" max="6914" width="22.85546875" style="2" customWidth="1"/>
    <col min="6915" max="6915" width="15.42578125" style="2" customWidth="1"/>
    <col min="6916" max="6916" width="14.5703125" style="2" customWidth="1"/>
    <col min="6917" max="6917" width="11.28515625" style="2" customWidth="1"/>
    <col min="6918" max="6918" width="5.85546875" style="2" customWidth="1"/>
    <col min="6919" max="6919" width="11.85546875" style="2" bestFit="1" customWidth="1"/>
    <col min="6920" max="6920" width="10.42578125" style="2" customWidth="1"/>
    <col min="6921" max="6921" width="5.5703125" style="2" customWidth="1"/>
    <col min="6922" max="6922" width="7.5703125" style="2" customWidth="1"/>
    <col min="6923" max="6923" width="13.140625" style="2" bestFit="1" customWidth="1"/>
    <col min="6924" max="6925" width="7" style="2" customWidth="1"/>
    <col min="6926" max="6926" width="11.140625" style="2" customWidth="1"/>
    <col min="6927" max="6927" width="12.5703125" style="2" bestFit="1" customWidth="1"/>
    <col min="6928" max="6928" width="10.42578125" style="2" customWidth="1"/>
    <col min="6929" max="6929" width="7.42578125" style="2" customWidth="1"/>
    <col min="6930" max="6930" width="15.85546875" style="2" bestFit="1" customWidth="1"/>
    <col min="6931" max="6931" width="5.85546875" style="2" customWidth="1"/>
    <col min="6932" max="6938" width="0" style="2" hidden="1" customWidth="1"/>
    <col min="6939" max="7168" width="9" style="2"/>
    <col min="7169" max="7169" width="5" style="2" bestFit="1" customWidth="1"/>
    <col min="7170" max="7170" width="22.85546875" style="2" customWidth="1"/>
    <col min="7171" max="7171" width="15.42578125" style="2" customWidth="1"/>
    <col min="7172" max="7172" width="14.5703125" style="2" customWidth="1"/>
    <col min="7173" max="7173" width="11.28515625" style="2" customWidth="1"/>
    <col min="7174" max="7174" width="5.85546875" style="2" customWidth="1"/>
    <col min="7175" max="7175" width="11.85546875" style="2" bestFit="1" customWidth="1"/>
    <col min="7176" max="7176" width="10.42578125" style="2" customWidth="1"/>
    <col min="7177" max="7177" width="5.5703125" style="2" customWidth="1"/>
    <col min="7178" max="7178" width="7.5703125" style="2" customWidth="1"/>
    <col min="7179" max="7179" width="13.140625" style="2" bestFit="1" customWidth="1"/>
    <col min="7180" max="7181" width="7" style="2" customWidth="1"/>
    <col min="7182" max="7182" width="11.140625" style="2" customWidth="1"/>
    <col min="7183" max="7183" width="12.5703125" style="2" bestFit="1" customWidth="1"/>
    <col min="7184" max="7184" width="10.42578125" style="2" customWidth="1"/>
    <col min="7185" max="7185" width="7.42578125" style="2" customWidth="1"/>
    <col min="7186" max="7186" width="15.85546875" style="2" bestFit="1" customWidth="1"/>
    <col min="7187" max="7187" width="5.85546875" style="2" customWidth="1"/>
    <col min="7188" max="7194" width="0" style="2" hidden="1" customWidth="1"/>
    <col min="7195" max="7424" width="9" style="2"/>
    <col min="7425" max="7425" width="5" style="2" bestFit="1" customWidth="1"/>
    <col min="7426" max="7426" width="22.85546875" style="2" customWidth="1"/>
    <col min="7427" max="7427" width="15.42578125" style="2" customWidth="1"/>
    <col min="7428" max="7428" width="14.5703125" style="2" customWidth="1"/>
    <col min="7429" max="7429" width="11.28515625" style="2" customWidth="1"/>
    <col min="7430" max="7430" width="5.85546875" style="2" customWidth="1"/>
    <col min="7431" max="7431" width="11.85546875" style="2" bestFit="1" customWidth="1"/>
    <col min="7432" max="7432" width="10.42578125" style="2" customWidth="1"/>
    <col min="7433" max="7433" width="5.5703125" style="2" customWidth="1"/>
    <col min="7434" max="7434" width="7.5703125" style="2" customWidth="1"/>
    <col min="7435" max="7435" width="13.140625" style="2" bestFit="1" customWidth="1"/>
    <col min="7436" max="7437" width="7" style="2" customWidth="1"/>
    <col min="7438" max="7438" width="11.140625" style="2" customWidth="1"/>
    <col min="7439" max="7439" width="12.5703125" style="2" bestFit="1" customWidth="1"/>
    <col min="7440" max="7440" width="10.42578125" style="2" customWidth="1"/>
    <col min="7441" max="7441" width="7.42578125" style="2" customWidth="1"/>
    <col min="7442" max="7442" width="15.85546875" style="2" bestFit="1" customWidth="1"/>
    <col min="7443" max="7443" width="5.85546875" style="2" customWidth="1"/>
    <col min="7444" max="7450" width="0" style="2" hidden="1" customWidth="1"/>
    <col min="7451" max="7680" width="9" style="2"/>
    <col min="7681" max="7681" width="5" style="2" bestFit="1" customWidth="1"/>
    <col min="7682" max="7682" width="22.85546875" style="2" customWidth="1"/>
    <col min="7683" max="7683" width="15.42578125" style="2" customWidth="1"/>
    <col min="7684" max="7684" width="14.5703125" style="2" customWidth="1"/>
    <col min="7685" max="7685" width="11.28515625" style="2" customWidth="1"/>
    <col min="7686" max="7686" width="5.85546875" style="2" customWidth="1"/>
    <col min="7687" max="7687" width="11.85546875" style="2" bestFit="1" customWidth="1"/>
    <col min="7688" max="7688" width="10.42578125" style="2" customWidth="1"/>
    <col min="7689" max="7689" width="5.5703125" style="2" customWidth="1"/>
    <col min="7690" max="7690" width="7.5703125" style="2" customWidth="1"/>
    <col min="7691" max="7691" width="13.140625" style="2" bestFit="1" customWidth="1"/>
    <col min="7692" max="7693" width="7" style="2" customWidth="1"/>
    <col min="7694" max="7694" width="11.140625" style="2" customWidth="1"/>
    <col min="7695" max="7695" width="12.5703125" style="2" bestFit="1" customWidth="1"/>
    <col min="7696" max="7696" width="10.42578125" style="2" customWidth="1"/>
    <col min="7697" max="7697" width="7.42578125" style="2" customWidth="1"/>
    <col min="7698" max="7698" width="15.85546875" style="2" bestFit="1" customWidth="1"/>
    <col min="7699" max="7699" width="5.85546875" style="2" customWidth="1"/>
    <col min="7700" max="7706" width="0" style="2" hidden="1" customWidth="1"/>
    <col min="7707" max="7936" width="9" style="2"/>
    <col min="7937" max="7937" width="5" style="2" bestFit="1" customWidth="1"/>
    <col min="7938" max="7938" width="22.85546875" style="2" customWidth="1"/>
    <col min="7939" max="7939" width="15.42578125" style="2" customWidth="1"/>
    <col min="7940" max="7940" width="14.5703125" style="2" customWidth="1"/>
    <col min="7941" max="7941" width="11.28515625" style="2" customWidth="1"/>
    <col min="7942" max="7942" width="5.85546875" style="2" customWidth="1"/>
    <col min="7943" max="7943" width="11.85546875" style="2" bestFit="1" customWidth="1"/>
    <col min="7944" max="7944" width="10.42578125" style="2" customWidth="1"/>
    <col min="7945" max="7945" width="5.5703125" style="2" customWidth="1"/>
    <col min="7946" max="7946" width="7.5703125" style="2" customWidth="1"/>
    <col min="7947" max="7947" width="13.140625" style="2" bestFit="1" customWidth="1"/>
    <col min="7948" max="7949" width="7" style="2" customWidth="1"/>
    <col min="7950" max="7950" width="11.140625" style="2" customWidth="1"/>
    <col min="7951" max="7951" width="12.5703125" style="2" bestFit="1" customWidth="1"/>
    <col min="7952" max="7952" width="10.42578125" style="2" customWidth="1"/>
    <col min="7953" max="7953" width="7.42578125" style="2" customWidth="1"/>
    <col min="7954" max="7954" width="15.85546875" style="2" bestFit="1" customWidth="1"/>
    <col min="7955" max="7955" width="5.85546875" style="2" customWidth="1"/>
    <col min="7956" max="7962" width="0" style="2" hidden="1" customWidth="1"/>
    <col min="7963" max="8192" width="9" style="2"/>
    <col min="8193" max="8193" width="5" style="2" bestFit="1" customWidth="1"/>
    <col min="8194" max="8194" width="22.85546875" style="2" customWidth="1"/>
    <col min="8195" max="8195" width="15.42578125" style="2" customWidth="1"/>
    <col min="8196" max="8196" width="14.5703125" style="2" customWidth="1"/>
    <col min="8197" max="8197" width="11.28515625" style="2" customWidth="1"/>
    <col min="8198" max="8198" width="5.85546875" style="2" customWidth="1"/>
    <col min="8199" max="8199" width="11.85546875" style="2" bestFit="1" customWidth="1"/>
    <col min="8200" max="8200" width="10.42578125" style="2" customWidth="1"/>
    <col min="8201" max="8201" width="5.5703125" style="2" customWidth="1"/>
    <col min="8202" max="8202" width="7.5703125" style="2" customWidth="1"/>
    <col min="8203" max="8203" width="13.140625" style="2" bestFit="1" customWidth="1"/>
    <col min="8204" max="8205" width="7" style="2" customWidth="1"/>
    <col min="8206" max="8206" width="11.140625" style="2" customWidth="1"/>
    <col min="8207" max="8207" width="12.5703125" style="2" bestFit="1" customWidth="1"/>
    <col min="8208" max="8208" width="10.42578125" style="2" customWidth="1"/>
    <col min="8209" max="8209" width="7.42578125" style="2" customWidth="1"/>
    <col min="8210" max="8210" width="15.85546875" style="2" bestFit="1" customWidth="1"/>
    <col min="8211" max="8211" width="5.85546875" style="2" customWidth="1"/>
    <col min="8212" max="8218" width="0" style="2" hidden="1" customWidth="1"/>
    <col min="8219" max="8448" width="9" style="2"/>
    <col min="8449" max="8449" width="5" style="2" bestFit="1" customWidth="1"/>
    <col min="8450" max="8450" width="22.85546875" style="2" customWidth="1"/>
    <col min="8451" max="8451" width="15.42578125" style="2" customWidth="1"/>
    <col min="8452" max="8452" width="14.5703125" style="2" customWidth="1"/>
    <col min="8453" max="8453" width="11.28515625" style="2" customWidth="1"/>
    <col min="8454" max="8454" width="5.85546875" style="2" customWidth="1"/>
    <col min="8455" max="8455" width="11.85546875" style="2" bestFit="1" customWidth="1"/>
    <col min="8456" max="8456" width="10.42578125" style="2" customWidth="1"/>
    <col min="8457" max="8457" width="5.5703125" style="2" customWidth="1"/>
    <col min="8458" max="8458" width="7.5703125" style="2" customWidth="1"/>
    <col min="8459" max="8459" width="13.140625" style="2" bestFit="1" customWidth="1"/>
    <col min="8460" max="8461" width="7" style="2" customWidth="1"/>
    <col min="8462" max="8462" width="11.140625" style="2" customWidth="1"/>
    <col min="8463" max="8463" width="12.5703125" style="2" bestFit="1" customWidth="1"/>
    <col min="8464" max="8464" width="10.42578125" style="2" customWidth="1"/>
    <col min="8465" max="8465" width="7.42578125" style="2" customWidth="1"/>
    <col min="8466" max="8466" width="15.85546875" style="2" bestFit="1" customWidth="1"/>
    <col min="8467" max="8467" width="5.85546875" style="2" customWidth="1"/>
    <col min="8468" max="8474" width="0" style="2" hidden="1" customWidth="1"/>
    <col min="8475" max="8704" width="9" style="2"/>
    <col min="8705" max="8705" width="5" style="2" bestFit="1" customWidth="1"/>
    <col min="8706" max="8706" width="22.85546875" style="2" customWidth="1"/>
    <col min="8707" max="8707" width="15.42578125" style="2" customWidth="1"/>
    <col min="8708" max="8708" width="14.5703125" style="2" customWidth="1"/>
    <col min="8709" max="8709" width="11.28515625" style="2" customWidth="1"/>
    <col min="8710" max="8710" width="5.85546875" style="2" customWidth="1"/>
    <col min="8711" max="8711" width="11.85546875" style="2" bestFit="1" customWidth="1"/>
    <col min="8712" max="8712" width="10.42578125" style="2" customWidth="1"/>
    <col min="8713" max="8713" width="5.5703125" style="2" customWidth="1"/>
    <col min="8714" max="8714" width="7.5703125" style="2" customWidth="1"/>
    <col min="8715" max="8715" width="13.140625" style="2" bestFit="1" customWidth="1"/>
    <col min="8716" max="8717" width="7" style="2" customWidth="1"/>
    <col min="8718" max="8718" width="11.140625" style="2" customWidth="1"/>
    <col min="8719" max="8719" width="12.5703125" style="2" bestFit="1" customWidth="1"/>
    <col min="8720" max="8720" width="10.42578125" style="2" customWidth="1"/>
    <col min="8721" max="8721" width="7.42578125" style="2" customWidth="1"/>
    <col min="8722" max="8722" width="15.85546875" style="2" bestFit="1" customWidth="1"/>
    <col min="8723" max="8723" width="5.85546875" style="2" customWidth="1"/>
    <col min="8724" max="8730" width="0" style="2" hidden="1" customWidth="1"/>
    <col min="8731" max="8960" width="9" style="2"/>
    <col min="8961" max="8961" width="5" style="2" bestFit="1" customWidth="1"/>
    <col min="8962" max="8962" width="22.85546875" style="2" customWidth="1"/>
    <col min="8963" max="8963" width="15.42578125" style="2" customWidth="1"/>
    <col min="8964" max="8964" width="14.5703125" style="2" customWidth="1"/>
    <col min="8965" max="8965" width="11.28515625" style="2" customWidth="1"/>
    <col min="8966" max="8966" width="5.85546875" style="2" customWidth="1"/>
    <col min="8967" max="8967" width="11.85546875" style="2" bestFit="1" customWidth="1"/>
    <col min="8968" max="8968" width="10.42578125" style="2" customWidth="1"/>
    <col min="8969" max="8969" width="5.5703125" style="2" customWidth="1"/>
    <col min="8970" max="8970" width="7.5703125" style="2" customWidth="1"/>
    <col min="8971" max="8971" width="13.140625" style="2" bestFit="1" customWidth="1"/>
    <col min="8972" max="8973" width="7" style="2" customWidth="1"/>
    <col min="8974" max="8974" width="11.140625" style="2" customWidth="1"/>
    <col min="8975" max="8975" width="12.5703125" style="2" bestFit="1" customWidth="1"/>
    <col min="8976" max="8976" width="10.42578125" style="2" customWidth="1"/>
    <col min="8977" max="8977" width="7.42578125" style="2" customWidth="1"/>
    <col min="8978" max="8978" width="15.85546875" style="2" bestFit="1" customWidth="1"/>
    <col min="8979" max="8979" width="5.85546875" style="2" customWidth="1"/>
    <col min="8980" max="8986" width="0" style="2" hidden="1" customWidth="1"/>
    <col min="8987" max="9216" width="9" style="2"/>
    <col min="9217" max="9217" width="5" style="2" bestFit="1" customWidth="1"/>
    <col min="9218" max="9218" width="22.85546875" style="2" customWidth="1"/>
    <col min="9219" max="9219" width="15.42578125" style="2" customWidth="1"/>
    <col min="9220" max="9220" width="14.5703125" style="2" customWidth="1"/>
    <col min="9221" max="9221" width="11.28515625" style="2" customWidth="1"/>
    <col min="9222" max="9222" width="5.85546875" style="2" customWidth="1"/>
    <col min="9223" max="9223" width="11.85546875" style="2" bestFit="1" customWidth="1"/>
    <col min="9224" max="9224" width="10.42578125" style="2" customWidth="1"/>
    <col min="9225" max="9225" width="5.5703125" style="2" customWidth="1"/>
    <col min="9226" max="9226" width="7.5703125" style="2" customWidth="1"/>
    <col min="9227" max="9227" width="13.140625" style="2" bestFit="1" customWidth="1"/>
    <col min="9228" max="9229" width="7" style="2" customWidth="1"/>
    <col min="9230" max="9230" width="11.140625" style="2" customWidth="1"/>
    <col min="9231" max="9231" width="12.5703125" style="2" bestFit="1" customWidth="1"/>
    <col min="9232" max="9232" width="10.42578125" style="2" customWidth="1"/>
    <col min="9233" max="9233" width="7.42578125" style="2" customWidth="1"/>
    <col min="9234" max="9234" width="15.85546875" style="2" bestFit="1" customWidth="1"/>
    <col min="9235" max="9235" width="5.85546875" style="2" customWidth="1"/>
    <col min="9236" max="9242" width="0" style="2" hidden="1" customWidth="1"/>
    <col min="9243" max="9472" width="9" style="2"/>
    <col min="9473" max="9473" width="5" style="2" bestFit="1" customWidth="1"/>
    <col min="9474" max="9474" width="22.85546875" style="2" customWidth="1"/>
    <col min="9475" max="9475" width="15.42578125" style="2" customWidth="1"/>
    <col min="9476" max="9476" width="14.5703125" style="2" customWidth="1"/>
    <col min="9477" max="9477" width="11.28515625" style="2" customWidth="1"/>
    <col min="9478" max="9478" width="5.85546875" style="2" customWidth="1"/>
    <col min="9479" max="9479" width="11.85546875" style="2" bestFit="1" customWidth="1"/>
    <col min="9480" max="9480" width="10.42578125" style="2" customWidth="1"/>
    <col min="9481" max="9481" width="5.5703125" style="2" customWidth="1"/>
    <col min="9482" max="9482" width="7.5703125" style="2" customWidth="1"/>
    <col min="9483" max="9483" width="13.140625" style="2" bestFit="1" customWidth="1"/>
    <col min="9484" max="9485" width="7" style="2" customWidth="1"/>
    <col min="9486" max="9486" width="11.140625" style="2" customWidth="1"/>
    <col min="9487" max="9487" width="12.5703125" style="2" bestFit="1" customWidth="1"/>
    <col min="9488" max="9488" width="10.42578125" style="2" customWidth="1"/>
    <col min="9489" max="9489" width="7.42578125" style="2" customWidth="1"/>
    <col min="9490" max="9490" width="15.85546875" style="2" bestFit="1" customWidth="1"/>
    <col min="9491" max="9491" width="5.85546875" style="2" customWidth="1"/>
    <col min="9492" max="9498" width="0" style="2" hidden="1" customWidth="1"/>
    <col min="9499" max="9728" width="9" style="2"/>
    <col min="9729" max="9729" width="5" style="2" bestFit="1" customWidth="1"/>
    <col min="9730" max="9730" width="22.85546875" style="2" customWidth="1"/>
    <col min="9731" max="9731" width="15.42578125" style="2" customWidth="1"/>
    <col min="9732" max="9732" width="14.5703125" style="2" customWidth="1"/>
    <col min="9733" max="9733" width="11.28515625" style="2" customWidth="1"/>
    <col min="9734" max="9734" width="5.85546875" style="2" customWidth="1"/>
    <col min="9735" max="9735" width="11.85546875" style="2" bestFit="1" customWidth="1"/>
    <col min="9736" max="9736" width="10.42578125" style="2" customWidth="1"/>
    <col min="9737" max="9737" width="5.5703125" style="2" customWidth="1"/>
    <col min="9738" max="9738" width="7.5703125" style="2" customWidth="1"/>
    <col min="9739" max="9739" width="13.140625" style="2" bestFit="1" customWidth="1"/>
    <col min="9740" max="9741" width="7" style="2" customWidth="1"/>
    <col min="9742" max="9742" width="11.140625" style="2" customWidth="1"/>
    <col min="9743" max="9743" width="12.5703125" style="2" bestFit="1" customWidth="1"/>
    <col min="9744" max="9744" width="10.42578125" style="2" customWidth="1"/>
    <col min="9745" max="9745" width="7.42578125" style="2" customWidth="1"/>
    <col min="9746" max="9746" width="15.85546875" style="2" bestFit="1" customWidth="1"/>
    <col min="9747" max="9747" width="5.85546875" style="2" customWidth="1"/>
    <col min="9748" max="9754" width="0" style="2" hidden="1" customWidth="1"/>
    <col min="9755" max="9984" width="9" style="2"/>
    <col min="9985" max="9985" width="5" style="2" bestFit="1" customWidth="1"/>
    <col min="9986" max="9986" width="22.85546875" style="2" customWidth="1"/>
    <col min="9987" max="9987" width="15.42578125" style="2" customWidth="1"/>
    <col min="9988" max="9988" width="14.5703125" style="2" customWidth="1"/>
    <col min="9989" max="9989" width="11.28515625" style="2" customWidth="1"/>
    <col min="9990" max="9990" width="5.85546875" style="2" customWidth="1"/>
    <col min="9991" max="9991" width="11.85546875" style="2" bestFit="1" customWidth="1"/>
    <col min="9992" max="9992" width="10.42578125" style="2" customWidth="1"/>
    <col min="9993" max="9993" width="5.5703125" style="2" customWidth="1"/>
    <col min="9994" max="9994" width="7.5703125" style="2" customWidth="1"/>
    <col min="9995" max="9995" width="13.140625" style="2" bestFit="1" customWidth="1"/>
    <col min="9996" max="9997" width="7" style="2" customWidth="1"/>
    <col min="9998" max="9998" width="11.140625" style="2" customWidth="1"/>
    <col min="9999" max="9999" width="12.5703125" style="2" bestFit="1" customWidth="1"/>
    <col min="10000" max="10000" width="10.42578125" style="2" customWidth="1"/>
    <col min="10001" max="10001" width="7.42578125" style="2" customWidth="1"/>
    <col min="10002" max="10002" width="15.85546875" style="2" bestFit="1" customWidth="1"/>
    <col min="10003" max="10003" width="5.85546875" style="2" customWidth="1"/>
    <col min="10004" max="10010" width="0" style="2" hidden="1" customWidth="1"/>
    <col min="10011" max="10240" width="9" style="2"/>
    <col min="10241" max="10241" width="5" style="2" bestFit="1" customWidth="1"/>
    <col min="10242" max="10242" width="22.85546875" style="2" customWidth="1"/>
    <col min="10243" max="10243" width="15.42578125" style="2" customWidth="1"/>
    <col min="10244" max="10244" width="14.5703125" style="2" customWidth="1"/>
    <col min="10245" max="10245" width="11.28515625" style="2" customWidth="1"/>
    <col min="10246" max="10246" width="5.85546875" style="2" customWidth="1"/>
    <col min="10247" max="10247" width="11.85546875" style="2" bestFit="1" customWidth="1"/>
    <col min="10248" max="10248" width="10.42578125" style="2" customWidth="1"/>
    <col min="10249" max="10249" width="5.5703125" style="2" customWidth="1"/>
    <col min="10250" max="10250" width="7.5703125" style="2" customWidth="1"/>
    <col min="10251" max="10251" width="13.140625" style="2" bestFit="1" customWidth="1"/>
    <col min="10252" max="10253" width="7" style="2" customWidth="1"/>
    <col min="10254" max="10254" width="11.140625" style="2" customWidth="1"/>
    <col min="10255" max="10255" width="12.5703125" style="2" bestFit="1" customWidth="1"/>
    <col min="10256" max="10256" width="10.42578125" style="2" customWidth="1"/>
    <col min="10257" max="10257" width="7.42578125" style="2" customWidth="1"/>
    <col min="10258" max="10258" width="15.85546875" style="2" bestFit="1" customWidth="1"/>
    <col min="10259" max="10259" width="5.85546875" style="2" customWidth="1"/>
    <col min="10260" max="10266" width="0" style="2" hidden="1" customWidth="1"/>
    <col min="10267" max="10496" width="9" style="2"/>
    <col min="10497" max="10497" width="5" style="2" bestFit="1" customWidth="1"/>
    <col min="10498" max="10498" width="22.85546875" style="2" customWidth="1"/>
    <col min="10499" max="10499" width="15.42578125" style="2" customWidth="1"/>
    <col min="10500" max="10500" width="14.5703125" style="2" customWidth="1"/>
    <col min="10501" max="10501" width="11.28515625" style="2" customWidth="1"/>
    <col min="10502" max="10502" width="5.85546875" style="2" customWidth="1"/>
    <col min="10503" max="10503" width="11.85546875" style="2" bestFit="1" customWidth="1"/>
    <col min="10504" max="10504" width="10.42578125" style="2" customWidth="1"/>
    <col min="10505" max="10505" width="5.5703125" style="2" customWidth="1"/>
    <col min="10506" max="10506" width="7.5703125" style="2" customWidth="1"/>
    <col min="10507" max="10507" width="13.140625" style="2" bestFit="1" customWidth="1"/>
    <col min="10508" max="10509" width="7" style="2" customWidth="1"/>
    <col min="10510" max="10510" width="11.140625" style="2" customWidth="1"/>
    <col min="10511" max="10511" width="12.5703125" style="2" bestFit="1" customWidth="1"/>
    <col min="10512" max="10512" width="10.42578125" style="2" customWidth="1"/>
    <col min="10513" max="10513" width="7.42578125" style="2" customWidth="1"/>
    <col min="10514" max="10514" width="15.85546875" style="2" bestFit="1" customWidth="1"/>
    <col min="10515" max="10515" width="5.85546875" style="2" customWidth="1"/>
    <col min="10516" max="10522" width="0" style="2" hidden="1" customWidth="1"/>
    <col min="10523" max="10752" width="9" style="2"/>
    <col min="10753" max="10753" width="5" style="2" bestFit="1" customWidth="1"/>
    <col min="10754" max="10754" width="22.85546875" style="2" customWidth="1"/>
    <col min="10755" max="10755" width="15.42578125" style="2" customWidth="1"/>
    <col min="10756" max="10756" width="14.5703125" style="2" customWidth="1"/>
    <col min="10757" max="10757" width="11.28515625" style="2" customWidth="1"/>
    <col min="10758" max="10758" width="5.85546875" style="2" customWidth="1"/>
    <col min="10759" max="10759" width="11.85546875" style="2" bestFit="1" customWidth="1"/>
    <col min="10760" max="10760" width="10.42578125" style="2" customWidth="1"/>
    <col min="10761" max="10761" width="5.5703125" style="2" customWidth="1"/>
    <col min="10762" max="10762" width="7.5703125" style="2" customWidth="1"/>
    <col min="10763" max="10763" width="13.140625" style="2" bestFit="1" customWidth="1"/>
    <col min="10764" max="10765" width="7" style="2" customWidth="1"/>
    <col min="10766" max="10766" width="11.140625" style="2" customWidth="1"/>
    <col min="10767" max="10767" width="12.5703125" style="2" bestFit="1" customWidth="1"/>
    <col min="10768" max="10768" width="10.42578125" style="2" customWidth="1"/>
    <col min="10769" max="10769" width="7.42578125" style="2" customWidth="1"/>
    <col min="10770" max="10770" width="15.85546875" style="2" bestFit="1" customWidth="1"/>
    <col min="10771" max="10771" width="5.85546875" style="2" customWidth="1"/>
    <col min="10772" max="10778" width="0" style="2" hidden="1" customWidth="1"/>
    <col min="10779" max="11008" width="9" style="2"/>
    <col min="11009" max="11009" width="5" style="2" bestFit="1" customWidth="1"/>
    <col min="11010" max="11010" width="22.85546875" style="2" customWidth="1"/>
    <col min="11011" max="11011" width="15.42578125" style="2" customWidth="1"/>
    <col min="11012" max="11012" width="14.5703125" style="2" customWidth="1"/>
    <col min="11013" max="11013" width="11.28515625" style="2" customWidth="1"/>
    <col min="11014" max="11014" width="5.85546875" style="2" customWidth="1"/>
    <col min="11015" max="11015" width="11.85546875" style="2" bestFit="1" customWidth="1"/>
    <col min="11016" max="11016" width="10.42578125" style="2" customWidth="1"/>
    <col min="11017" max="11017" width="5.5703125" style="2" customWidth="1"/>
    <col min="11018" max="11018" width="7.5703125" style="2" customWidth="1"/>
    <col min="11019" max="11019" width="13.140625" style="2" bestFit="1" customWidth="1"/>
    <col min="11020" max="11021" width="7" style="2" customWidth="1"/>
    <col min="11022" max="11022" width="11.140625" style="2" customWidth="1"/>
    <col min="11023" max="11023" width="12.5703125" style="2" bestFit="1" customWidth="1"/>
    <col min="11024" max="11024" width="10.42578125" style="2" customWidth="1"/>
    <col min="11025" max="11025" width="7.42578125" style="2" customWidth="1"/>
    <col min="11026" max="11026" width="15.85546875" style="2" bestFit="1" customWidth="1"/>
    <col min="11027" max="11027" width="5.85546875" style="2" customWidth="1"/>
    <col min="11028" max="11034" width="0" style="2" hidden="1" customWidth="1"/>
    <col min="11035" max="11264" width="9" style="2"/>
    <col min="11265" max="11265" width="5" style="2" bestFit="1" customWidth="1"/>
    <col min="11266" max="11266" width="22.85546875" style="2" customWidth="1"/>
    <col min="11267" max="11267" width="15.42578125" style="2" customWidth="1"/>
    <col min="11268" max="11268" width="14.5703125" style="2" customWidth="1"/>
    <col min="11269" max="11269" width="11.28515625" style="2" customWidth="1"/>
    <col min="11270" max="11270" width="5.85546875" style="2" customWidth="1"/>
    <col min="11271" max="11271" width="11.85546875" style="2" bestFit="1" customWidth="1"/>
    <col min="11272" max="11272" width="10.42578125" style="2" customWidth="1"/>
    <col min="11273" max="11273" width="5.5703125" style="2" customWidth="1"/>
    <col min="11274" max="11274" width="7.5703125" style="2" customWidth="1"/>
    <col min="11275" max="11275" width="13.140625" style="2" bestFit="1" customWidth="1"/>
    <col min="11276" max="11277" width="7" style="2" customWidth="1"/>
    <col min="11278" max="11278" width="11.140625" style="2" customWidth="1"/>
    <col min="11279" max="11279" width="12.5703125" style="2" bestFit="1" customWidth="1"/>
    <col min="11280" max="11280" width="10.42578125" style="2" customWidth="1"/>
    <col min="11281" max="11281" width="7.42578125" style="2" customWidth="1"/>
    <col min="11282" max="11282" width="15.85546875" style="2" bestFit="1" customWidth="1"/>
    <col min="11283" max="11283" width="5.85546875" style="2" customWidth="1"/>
    <col min="11284" max="11290" width="0" style="2" hidden="1" customWidth="1"/>
    <col min="11291" max="11520" width="9" style="2"/>
    <col min="11521" max="11521" width="5" style="2" bestFit="1" customWidth="1"/>
    <col min="11522" max="11522" width="22.85546875" style="2" customWidth="1"/>
    <col min="11523" max="11523" width="15.42578125" style="2" customWidth="1"/>
    <col min="11524" max="11524" width="14.5703125" style="2" customWidth="1"/>
    <col min="11525" max="11525" width="11.28515625" style="2" customWidth="1"/>
    <col min="11526" max="11526" width="5.85546875" style="2" customWidth="1"/>
    <col min="11527" max="11527" width="11.85546875" style="2" bestFit="1" customWidth="1"/>
    <col min="11528" max="11528" width="10.42578125" style="2" customWidth="1"/>
    <col min="11529" max="11529" width="5.5703125" style="2" customWidth="1"/>
    <col min="11530" max="11530" width="7.5703125" style="2" customWidth="1"/>
    <col min="11531" max="11531" width="13.140625" style="2" bestFit="1" customWidth="1"/>
    <col min="11532" max="11533" width="7" style="2" customWidth="1"/>
    <col min="11534" max="11534" width="11.140625" style="2" customWidth="1"/>
    <col min="11535" max="11535" width="12.5703125" style="2" bestFit="1" customWidth="1"/>
    <col min="11536" max="11536" width="10.42578125" style="2" customWidth="1"/>
    <col min="11537" max="11537" width="7.42578125" style="2" customWidth="1"/>
    <col min="11538" max="11538" width="15.85546875" style="2" bestFit="1" customWidth="1"/>
    <col min="11539" max="11539" width="5.85546875" style="2" customWidth="1"/>
    <col min="11540" max="11546" width="0" style="2" hidden="1" customWidth="1"/>
    <col min="11547" max="11776" width="9" style="2"/>
    <col min="11777" max="11777" width="5" style="2" bestFit="1" customWidth="1"/>
    <col min="11778" max="11778" width="22.85546875" style="2" customWidth="1"/>
    <col min="11779" max="11779" width="15.42578125" style="2" customWidth="1"/>
    <col min="11780" max="11780" width="14.5703125" style="2" customWidth="1"/>
    <col min="11781" max="11781" width="11.28515625" style="2" customWidth="1"/>
    <col min="11782" max="11782" width="5.85546875" style="2" customWidth="1"/>
    <col min="11783" max="11783" width="11.85546875" style="2" bestFit="1" customWidth="1"/>
    <col min="11784" max="11784" width="10.42578125" style="2" customWidth="1"/>
    <col min="11785" max="11785" width="5.5703125" style="2" customWidth="1"/>
    <col min="11786" max="11786" width="7.5703125" style="2" customWidth="1"/>
    <col min="11787" max="11787" width="13.140625" style="2" bestFit="1" customWidth="1"/>
    <col min="11788" max="11789" width="7" style="2" customWidth="1"/>
    <col min="11790" max="11790" width="11.140625" style="2" customWidth="1"/>
    <col min="11791" max="11791" width="12.5703125" style="2" bestFit="1" customWidth="1"/>
    <col min="11792" max="11792" width="10.42578125" style="2" customWidth="1"/>
    <col min="11793" max="11793" width="7.42578125" style="2" customWidth="1"/>
    <col min="11794" max="11794" width="15.85546875" style="2" bestFit="1" customWidth="1"/>
    <col min="11795" max="11795" width="5.85546875" style="2" customWidth="1"/>
    <col min="11796" max="11802" width="0" style="2" hidden="1" customWidth="1"/>
    <col min="11803" max="12032" width="9" style="2"/>
    <col min="12033" max="12033" width="5" style="2" bestFit="1" customWidth="1"/>
    <col min="12034" max="12034" width="22.85546875" style="2" customWidth="1"/>
    <col min="12035" max="12035" width="15.42578125" style="2" customWidth="1"/>
    <col min="12036" max="12036" width="14.5703125" style="2" customWidth="1"/>
    <col min="12037" max="12037" width="11.28515625" style="2" customWidth="1"/>
    <col min="12038" max="12038" width="5.85546875" style="2" customWidth="1"/>
    <col min="12039" max="12039" width="11.85546875" style="2" bestFit="1" customWidth="1"/>
    <col min="12040" max="12040" width="10.42578125" style="2" customWidth="1"/>
    <col min="12041" max="12041" width="5.5703125" style="2" customWidth="1"/>
    <col min="12042" max="12042" width="7.5703125" style="2" customWidth="1"/>
    <col min="12043" max="12043" width="13.140625" style="2" bestFit="1" customWidth="1"/>
    <col min="12044" max="12045" width="7" style="2" customWidth="1"/>
    <col min="12046" max="12046" width="11.140625" style="2" customWidth="1"/>
    <col min="12047" max="12047" width="12.5703125" style="2" bestFit="1" customWidth="1"/>
    <col min="12048" max="12048" width="10.42578125" style="2" customWidth="1"/>
    <col min="12049" max="12049" width="7.42578125" style="2" customWidth="1"/>
    <col min="12050" max="12050" width="15.85546875" style="2" bestFit="1" customWidth="1"/>
    <col min="12051" max="12051" width="5.85546875" style="2" customWidth="1"/>
    <col min="12052" max="12058" width="0" style="2" hidden="1" customWidth="1"/>
    <col min="12059" max="12288" width="9" style="2"/>
    <col min="12289" max="12289" width="5" style="2" bestFit="1" customWidth="1"/>
    <col min="12290" max="12290" width="22.85546875" style="2" customWidth="1"/>
    <col min="12291" max="12291" width="15.42578125" style="2" customWidth="1"/>
    <col min="12292" max="12292" width="14.5703125" style="2" customWidth="1"/>
    <col min="12293" max="12293" width="11.28515625" style="2" customWidth="1"/>
    <col min="12294" max="12294" width="5.85546875" style="2" customWidth="1"/>
    <col min="12295" max="12295" width="11.85546875" style="2" bestFit="1" customWidth="1"/>
    <col min="12296" max="12296" width="10.42578125" style="2" customWidth="1"/>
    <col min="12297" max="12297" width="5.5703125" style="2" customWidth="1"/>
    <col min="12298" max="12298" width="7.5703125" style="2" customWidth="1"/>
    <col min="12299" max="12299" width="13.140625" style="2" bestFit="1" customWidth="1"/>
    <col min="12300" max="12301" width="7" style="2" customWidth="1"/>
    <col min="12302" max="12302" width="11.140625" style="2" customWidth="1"/>
    <col min="12303" max="12303" width="12.5703125" style="2" bestFit="1" customWidth="1"/>
    <col min="12304" max="12304" width="10.42578125" style="2" customWidth="1"/>
    <col min="12305" max="12305" width="7.42578125" style="2" customWidth="1"/>
    <col min="12306" max="12306" width="15.85546875" style="2" bestFit="1" customWidth="1"/>
    <col min="12307" max="12307" width="5.85546875" style="2" customWidth="1"/>
    <col min="12308" max="12314" width="0" style="2" hidden="1" customWidth="1"/>
    <col min="12315" max="12544" width="9" style="2"/>
    <col min="12545" max="12545" width="5" style="2" bestFit="1" customWidth="1"/>
    <col min="12546" max="12546" width="22.85546875" style="2" customWidth="1"/>
    <col min="12547" max="12547" width="15.42578125" style="2" customWidth="1"/>
    <col min="12548" max="12548" width="14.5703125" style="2" customWidth="1"/>
    <col min="12549" max="12549" width="11.28515625" style="2" customWidth="1"/>
    <col min="12550" max="12550" width="5.85546875" style="2" customWidth="1"/>
    <col min="12551" max="12551" width="11.85546875" style="2" bestFit="1" customWidth="1"/>
    <col min="12552" max="12552" width="10.42578125" style="2" customWidth="1"/>
    <col min="12553" max="12553" width="5.5703125" style="2" customWidth="1"/>
    <col min="12554" max="12554" width="7.5703125" style="2" customWidth="1"/>
    <col min="12555" max="12555" width="13.140625" style="2" bestFit="1" customWidth="1"/>
    <col min="12556" max="12557" width="7" style="2" customWidth="1"/>
    <col min="12558" max="12558" width="11.140625" style="2" customWidth="1"/>
    <col min="12559" max="12559" width="12.5703125" style="2" bestFit="1" customWidth="1"/>
    <col min="12560" max="12560" width="10.42578125" style="2" customWidth="1"/>
    <col min="12561" max="12561" width="7.42578125" style="2" customWidth="1"/>
    <col min="12562" max="12562" width="15.85546875" style="2" bestFit="1" customWidth="1"/>
    <col min="12563" max="12563" width="5.85546875" style="2" customWidth="1"/>
    <col min="12564" max="12570" width="0" style="2" hidden="1" customWidth="1"/>
    <col min="12571" max="12800" width="9" style="2"/>
    <col min="12801" max="12801" width="5" style="2" bestFit="1" customWidth="1"/>
    <col min="12802" max="12802" width="22.85546875" style="2" customWidth="1"/>
    <col min="12803" max="12803" width="15.42578125" style="2" customWidth="1"/>
    <col min="12804" max="12804" width="14.5703125" style="2" customWidth="1"/>
    <col min="12805" max="12805" width="11.28515625" style="2" customWidth="1"/>
    <col min="12806" max="12806" width="5.85546875" style="2" customWidth="1"/>
    <col min="12807" max="12807" width="11.85546875" style="2" bestFit="1" customWidth="1"/>
    <col min="12808" max="12808" width="10.42578125" style="2" customWidth="1"/>
    <col min="12809" max="12809" width="5.5703125" style="2" customWidth="1"/>
    <col min="12810" max="12810" width="7.5703125" style="2" customWidth="1"/>
    <col min="12811" max="12811" width="13.140625" style="2" bestFit="1" customWidth="1"/>
    <col min="12812" max="12813" width="7" style="2" customWidth="1"/>
    <col min="12814" max="12814" width="11.140625" style="2" customWidth="1"/>
    <col min="12815" max="12815" width="12.5703125" style="2" bestFit="1" customWidth="1"/>
    <col min="12816" max="12816" width="10.42578125" style="2" customWidth="1"/>
    <col min="12817" max="12817" width="7.42578125" style="2" customWidth="1"/>
    <col min="12818" max="12818" width="15.85546875" style="2" bestFit="1" customWidth="1"/>
    <col min="12819" max="12819" width="5.85546875" style="2" customWidth="1"/>
    <col min="12820" max="12826" width="0" style="2" hidden="1" customWidth="1"/>
    <col min="12827" max="13056" width="9" style="2"/>
    <col min="13057" max="13057" width="5" style="2" bestFit="1" customWidth="1"/>
    <col min="13058" max="13058" width="22.85546875" style="2" customWidth="1"/>
    <col min="13059" max="13059" width="15.42578125" style="2" customWidth="1"/>
    <col min="13060" max="13060" width="14.5703125" style="2" customWidth="1"/>
    <col min="13061" max="13061" width="11.28515625" style="2" customWidth="1"/>
    <col min="13062" max="13062" width="5.85546875" style="2" customWidth="1"/>
    <col min="13063" max="13063" width="11.85546875" style="2" bestFit="1" customWidth="1"/>
    <col min="13064" max="13064" width="10.42578125" style="2" customWidth="1"/>
    <col min="13065" max="13065" width="5.5703125" style="2" customWidth="1"/>
    <col min="13066" max="13066" width="7.5703125" style="2" customWidth="1"/>
    <col min="13067" max="13067" width="13.140625" style="2" bestFit="1" customWidth="1"/>
    <col min="13068" max="13069" width="7" style="2" customWidth="1"/>
    <col min="13070" max="13070" width="11.140625" style="2" customWidth="1"/>
    <col min="13071" max="13071" width="12.5703125" style="2" bestFit="1" customWidth="1"/>
    <col min="13072" max="13072" width="10.42578125" style="2" customWidth="1"/>
    <col min="13073" max="13073" width="7.42578125" style="2" customWidth="1"/>
    <col min="13074" max="13074" width="15.85546875" style="2" bestFit="1" customWidth="1"/>
    <col min="13075" max="13075" width="5.85546875" style="2" customWidth="1"/>
    <col min="13076" max="13082" width="0" style="2" hidden="1" customWidth="1"/>
    <col min="13083" max="13312" width="9" style="2"/>
    <col min="13313" max="13313" width="5" style="2" bestFit="1" customWidth="1"/>
    <col min="13314" max="13314" width="22.85546875" style="2" customWidth="1"/>
    <col min="13315" max="13315" width="15.42578125" style="2" customWidth="1"/>
    <col min="13316" max="13316" width="14.5703125" style="2" customWidth="1"/>
    <col min="13317" max="13317" width="11.28515625" style="2" customWidth="1"/>
    <col min="13318" max="13318" width="5.85546875" style="2" customWidth="1"/>
    <col min="13319" max="13319" width="11.85546875" style="2" bestFit="1" customWidth="1"/>
    <col min="13320" max="13320" width="10.42578125" style="2" customWidth="1"/>
    <col min="13321" max="13321" width="5.5703125" style="2" customWidth="1"/>
    <col min="13322" max="13322" width="7.5703125" style="2" customWidth="1"/>
    <col min="13323" max="13323" width="13.140625" style="2" bestFit="1" customWidth="1"/>
    <col min="13324" max="13325" width="7" style="2" customWidth="1"/>
    <col min="13326" max="13326" width="11.140625" style="2" customWidth="1"/>
    <col min="13327" max="13327" width="12.5703125" style="2" bestFit="1" customWidth="1"/>
    <col min="13328" max="13328" width="10.42578125" style="2" customWidth="1"/>
    <col min="13329" max="13329" width="7.42578125" style="2" customWidth="1"/>
    <col min="13330" max="13330" width="15.85546875" style="2" bestFit="1" customWidth="1"/>
    <col min="13331" max="13331" width="5.85546875" style="2" customWidth="1"/>
    <col min="13332" max="13338" width="0" style="2" hidden="1" customWidth="1"/>
    <col min="13339" max="13568" width="9" style="2"/>
    <col min="13569" max="13569" width="5" style="2" bestFit="1" customWidth="1"/>
    <col min="13570" max="13570" width="22.85546875" style="2" customWidth="1"/>
    <col min="13571" max="13571" width="15.42578125" style="2" customWidth="1"/>
    <col min="13572" max="13572" width="14.5703125" style="2" customWidth="1"/>
    <col min="13573" max="13573" width="11.28515625" style="2" customWidth="1"/>
    <col min="13574" max="13574" width="5.85546875" style="2" customWidth="1"/>
    <col min="13575" max="13575" width="11.85546875" style="2" bestFit="1" customWidth="1"/>
    <col min="13576" max="13576" width="10.42578125" style="2" customWidth="1"/>
    <col min="13577" max="13577" width="5.5703125" style="2" customWidth="1"/>
    <col min="13578" max="13578" width="7.5703125" style="2" customWidth="1"/>
    <col min="13579" max="13579" width="13.140625" style="2" bestFit="1" customWidth="1"/>
    <col min="13580" max="13581" width="7" style="2" customWidth="1"/>
    <col min="13582" max="13582" width="11.140625" style="2" customWidth="1"/>
    <col min="13583" max="13583" width="12.5703125" style="2" bestFit="1" customWidth="1"/>
    <col min="13584" max="13584" width="10.42578125" style="2" customWidth="1"/>
    <col min="13585" max="13585" width="7.42578125" style="2" customWidth="1"/>
    <col min="13586" max="13586" width="15.85546875" style="2" bestFit="1" customWidth="1"/>
    <col min="13587" max="13587" width="5.85546875" style="2" customWidth="1"/>
    <col min="13588" max="13594" width="0" style="2" hidden="1" customWidth="1"/>
    <col min="13595" max="13824" width="9" style="2"/>
    <col min="13825" max="13825" width="5" style="2" bestFit="1" customWidth="1"/>
    <col min="13826" max="13826" width="22.85546875" style="2" customWidth="1"/>
    <col min="13827" max="13827" width="15.42578125" style="2" customWidth="1"/>
    <col min="13828" max="13828" width="14.5703125" style="2" customWidth="1"/>
    <col min="13829" max="13829" width="11.28515625" style="2" customWidth="1"/>
    <col min="13830" max="13830" width="5.85546875" style="2" customWidth="1"/>
    <col min="13831" max="13831" width="11.85546875" style="2" bestFit="1" customWidth="1"/>
    <col min="13832" max="13832" width="10.42578125" style="2" customWidth="1"/>
    <col min="13833" max="13833" width="5.5703125" style="2" customWidth="1"/>
    <col min="13834" max="13834" width="7.5703125" style="2" customWidth="1"/>
    <col min="13835" max="13835" width="13.140625" style="2" bestFit="1" customWidth="1"/>
    <col min="13836" max="13837" width="7" style="2" customWidth="1"/>
    <col min="13838" max="13838" width="11.140625" style="2" customWidth="1"/>
    <col min="13839" max="13839" width="12.5703125" style="2" bestFit="1" customWidth="1"/>
    <col min="13840" max="13840" width="10.42578125" style="2" customWidth="1"/>
    <col min="13841" max="13841" width="7.42578125" style="2" customWidth="1"/>
    <col min="13842" max="13842" width="15.85546875" style="2" bestFit="1" customWidth="1"/>
    <col min="13843" max="13843" width="5.85546875" style="2" customWidth="1"/>
    <col min="13844" max="13850" width="0" style="2" hidden="1" customWidth="1"/>
    <col min="13851" max="14080" width="9" style="2"/>
    <col min="14081" max="14081" width="5" style="2" bestFit="1" customWidth="1"/>
    <col min="14082" max="14082" width="22.85546875" style="2" customWidth="1"/>
    <col min="14083" max="14083" width="15.42578125" style="2" customWidth="1"/>
    <col min="14084" max="14084" width="14.5703125" style="2" customWidth="1"/>
    <col min="14085" max="14085" width="11.28515625" style="2" customWidth="1"/>
    <col min="14086" max="14086" width="5.85546875" style="2" customWidth="1"/>
    <col min="14087" max="14087" width="11.85546875" style="2" bestFit="1" customWidth="1"/>
    <col min="14088" max="14088" width="10.42578125" style="2" customWidth="1"/>
    <col min="14089" max="14089" width="5.5703125" style="2" customWidth="1"/>
    <col min="14090" max="14090" width="7.5703125" style="2" customWidth="1"/>
    <col min="14091" max="14091" width="13.140625" style="2" bestFit="1" customWidth="1"/>
    <col min="14092" max="14093" width="7" style="2" customWidth="1"/>
    <col min="14094" max="14094" width="11.140625" style="2" customWidth="1"/>
    <col min="14095" max="14095" width="12.5703125" style="2" bestFit="1" customWidth="1"/>
    <col min="14096" max="14096" width="10.42578125" style="2" customWidth="1"/>
    <col min="14097" max="14097" width="7.42578125" style="2" customWidth="1"/>
    <col min="14098" max="14098" width="15.85546875" style="2" bestFit="1" customWidth="1"/>
    <col min="14099" max="14099" width="5.85546875" style="2" customWidth="1"/>
    <col min="14100" max="14106" width="0" style="2" hidden="1" customWidth="1"/>
    <col min="14107" max="14336" width="9" style="2"/>
    <col min="14337" max="14337" width="5" style="2" bestFit="1" customWidth="1"/>
    <col min="14338" max="14338" width="22.85546875" style="2" customWidth="1"/>
    <col min="14339" max="14339" width="15.42578125" style="2" customWidth="1"/>
    <col min="14340" max="14340" width="14.5703125" style="2" customWidth="1"/>
    <col min="14341" max="14341" width="11.28515625" style="2" customWidth="1"/>
    <col min="14342" max="14342" width="5.85546875" style="2" customWidth="1"/>
    <col min="14343" max="14343" width="11.85546875" style="2" bestFit="1" customWidth="1"/>
    <col min="14344" max="14344" width="10.42578125" style="2" customWidth="1"/>
    <col min="14345" max="14345" width="5.5703125" style="2" customWidth="1"/>
    <col min="14346" max="14346" width="7.5703125" style="2" customWidth="1"/>
    <col min="14347" max="14347" width="13.140625" style="2" bestFit="1" customWidth="1"/>
    <col min="14348" max="14349" width="7" style="2" customWidth="1"/>
    <col min="14350" max="14350" width="11.140625" style="2" customWidth="1"/>
    <col min="14351" max="14351" width="12.5703125" style="2" bestFit="1" customWidth="1"/>
    <col min="14352" max="14352" width="10.42578125" style="2" customWidth="1"/>
    <col min="14353" max="14353" width="7.42578125" style="2" customWidth="1"/>
    <col min="14354" max="14354" width="15.85546875" style="2" bestFit="1" customWidth="1"/>
    <col min="14355" max="14355" width="5.85546875" style="2" customWidth="1"/>
    <col min="14356" max="14362" width="0" style="2" hidden="1" customWidth="1"/>
    <col min="14363" max="14592" width="9" style="2"/>
    <col min="14593" max="14593" width="5" style="2" bestFit="1" customWidth="1"/>
    <col min="14594" max="14594" width="22.85546875" style="2" customWidth="1"/>
    <col min="14595" max="14595" width="15.42578125" style="2" customWidth="1"/>
    <col min="14596" max="14596" width="14.5703125" style="2" customWidth="1"/>
    <col min="14597" max="14597" width="11.28515625" style="2" customWidth="1"/>
    <col min="14598" max="14598" width="5.85546875" style="2" customWidth="1"/>
    <col min="14599" max="14599" width="11.85546875" style="2" bestFit="1" customWidth="1"/>
    <col min="14600" max="14600" width="10.42578125" style="2" customWidth="1"/>
    <col min="14601" max="14601" width="5.5703125" style="2" customWidth="1"/>
    <col min="14602" max="14602" width="7.5703125" style="2" customWidth="1"/>
    <col min="14603" max="14603" width="13.140625" style="2" bestFit="1" customWidth="1"/>
    <col min="14604" max="14605" width="7" style="2" customWidth="1"/>
    <col min="14606" max="14606" width="11.140625" style="2" customWidth="1"/>
    <col min="14607" max="14607" width="12.5703125" style="2" bestFit="1" customWidth="1"/>
    <col min="14608" max="14608" width="10.42578125" style="2" customWidth="1"/>
    <col min="14609" max="14609" width="7.42578125" style="2" customWidth="1"/>
    <col min="14610" max="14610" width="15.85546875" style="2" bestFit="1" customWidth="1"/>
    <col min="14611" max="14611" width="5.85546875" style="2" customWidth="1"/>
    <col min="14612" max="14618" width="0" style="2" hidden="1" customWidth="1"/>
    <col min="14619" max="14848" width="9" style="2"/>
    <col min="14849" max="14849" width="5" style="2" bestFit="1" customWidth="1"/>
    <col min="14850" max="14850" width="22.85546875" style="2" customWidth="1"/>
    <col min="14851" max="14851" width="15.42578125" style="2" customWidth="1"/>
    <col min="14852" max="14852" width="14.5703125" style="2" customWidth="1"/>
    <col min="14853" max="14853" width="11.28515625" style="2" customWidth="1"/>
    <col min="14854" max="14854" width="5.85546875" style="2" customWidth="1"/>
    <col min="14855" max="14855" width="11.85546875" style="2" bestFit="1" customWidth="1"/>
    <col min="14856" max="14856" width="10.42578125" style="2" customWidth="1"/>
    <col min="14857" max="14857" width="5.5703125" style="2" customWidth="1"/>
    <col min="14858" max="14858" width="7.5703125" style="2" customWidth="1"/>
    <col min="14859" max="14859" width="13.140625" style="2" bestFit="1" customWidth="1"/>
    <col min="14860" max="14861" width="7" style="2" customWidth="1"/>
    <col min="14862" max="14862" width="11.140625" style="2" customWidth="1"/>
    <col min="14863" max="14863" width="12.5703125" style="2" bestFit="1" customWidth="1"/>
    <col min="14864" max="14864" width="10.42578125" style="2" customWidth="1"/>
    <col min="14865" max="14865" width="7.42578125" style="2" customWidth="1"/>
    <col min="14866" max="14866" width="15.85546875" style="2" bestFit="1" customWidth="1"/>
    <col min="14867" max="14867" width="5.85546875" style="2" customWidth="1"/>
    <col min="14868" max="14874" width="0" style="2" hidden="1" customWidth="1"/>
    <col min="14875" max="15104" width="9" style="2"/>
    <col min="15105" max="15105" width="5" style="2" bestFit="1" customWidth="1"/>
    <col min="15106" max="15106" width="22.85546875" style="2" customWidth="1"/>
    <col min="15107" max="15107" width="15.42578125" style="2" customWidth="1"/>
    <col min="15108" max="15108" width="14.5703125" style="2" customWidth="1"/>
    <col min="15109" max="15109" width="11.28515625" style="2" customWidth="1"/>
    <col min="15110" max="15110" width="5.85546875" style="2" customWidth="1"/>
    <col min="15111" max="15111" width="11.85546875" style="2" bestFit="1" customWidth="1"/>
    <col min="15112" max="15112" width="10.42578125" style="2" customWidth="1"/>
    <col min="15113" max="15113" width="5.5703125" style="2" customWidth="1"/>
    <col min="15114" max="15114" width="7.5703125" style="2" customWidth="1"/>
    <col min="15115" max="15115" width="13.140625" style="2" bestFit="1" customWidth="1"/>
    <col min="15116" max="15117" width="7" style="2" customWidth="1"/>
    <col min="15118" max="15118" width="11.140625" style="2" customWidth="1"/>
    <col min="15119" max="15119" width="12.5703125" style="2" bestFit="1" customWidth="1"/>
    <col min="15120" max="15120" width="10.42578125" style="2" customWidth="1"/>
    <col min="15121" max="15121" width="7.42578125" style="2" customWidth="1"/>
    <col min="15122" max="15122" width="15.85546875" style="2" bestFit="1" customWidth="1"/>
    <col min="15123" max="15123" width="5.85546875" style="2" customWidth="1"/>
    <col min="15124" max="15130" width="0" style="2" hidden="1" customWidth="1"/>
    <col min="15131" max="15360" width="9" style="2"/>
    <col min="15361" max="15361" width="5" style="2" bestFit="1" customWidth="1"/>
    <col min="15362" max="15362" width="22.85546875" style="2" customWidth="1"/>
    <col min="15363" max="15363" width="15.42578125" style="2" customWidth="1"/>
    <col min="15364" max="15364" width="14.5703125" style="2" customWidth="1"/>
    <col min="15365" max="15365" width="11.28515625" style="2" customWidth="1"/>
    <col min="15366" max="15366" width="5.85546875" style="2" customWidth="1"/>
    <col min="15367" max="15367" width="11.85546875" style="2" bestFit="1" customWidth="1"/>
    <col min="15368" max="15368" width="10.42578125" style="2" customWidth="1"/>
    <col min="15369" max="15369" width="5.5703125" style="2" customWidth="1"/>
    <col min="15370" max="15370" width="7.5703125" style="2" customWidth="1"/>
    <col min="15371" max="15371" width="13.140625" style="2" bestFit="1" customWidth="1"/>
    <col min="15372" max="15373" width="7" style="2" customWidth="1"/>
    <col min="15374" max="15374" width="11.140625" style="2" customWidth="1"/>
    <col min="15375" max="15375" width="12.5703125" style="2" bestFit="1" customWidth="1"/>
    <col min="15376" max="15376" width="10.42578125" style="2" customWidth="1"/>
    <col min="15377" max="15377" width="7.42578125" style="2" customWidth="1"/>
    <col min="15378" max="15378" width="15.85546875" style="2" bestFit="1" customWidth="1"/>
    <col min="15379" max="15379" width="5.85546875" style="2" customWidth="1"/>
    <col min="15380" max="15386" width="0" style="2" hidden="1" customWidth="1"/>
    <col min="15387" max="15616" width="9" style="2"/>
    <col min="15617" max="15617" width="5" style="2" bestFit="1" customWidth="1"/>
    <col min="15618" max="15618" width="22.85546875" style="2" customWidth="1"/>
    <col min="15619" max="15619" width="15.42578125" style="2" customWidth="1"/>
    <col min="15620" max="15620" width="14.5703125" style="2" customWidth="1"/>
    <col min="15621" max="15621" width="11.28515625" style="2" customWidth="1"/>
    <col min="15622" max="15622" width="5.85546875" style="2" customWidth="1"/>
    <col min="15623" max="15623" width="11.85546875" style="2" bestFit="1" customWidth="1"/>
    <col min="15624" max="15624" width="10.42578125" style="2" customWidth="1"/>
    <col min="15625" max="15625" width="5.5703125" style="2" customWidth="1"/>
    <col min="15626" max="15626" width="7.5703125" style="2" customWidth="1"/>
    <col min="15627" max="15627" width="13.140625" style="2" bestFit="1" customWidth="1"/>
    <col min="15628" max="15629" width="7" style="2" customWidth="1"/>
    <col min="15630" max="15630" width="11.140625" style="2" customWidth="1"/>
    <col min="15631" max="15631" width="12.5703125" style="2" bestFit="1" customWidth="1"/>
    <col min="15632" max="15632" width="10.42578125" style="2" customWidth="1"/>
    <col min="15633" max="15633" width="7.42578125" style="2" customWidth="1"/>
    <col min="15634" max="15634" width="15.85546875" style="2" bestFit="1" customWidth="1"/>
    <col min="15635" max="15635" width="5.85546875" style="2" customWidth="1"/>
    <col min="15636" max="15642" width="0" style="2" hidden="1" customWidth="1"/>
    <col min="15643" max="15872" width="9" style="2"/>
    <col min="15873" max="15873" width="5" style="2" bestFit="1" customWidth="1"/>
    <col min="15874" max="15874" width="22.85546875" style="2" customWidth="1"/>
    <col min="15875" max="15875" width="15.42578125" style="2" customWidth="1"/>
    <col min="15876" max="15876" width="14.5703125" style="2" customWidth="1"/>
    <col min="15877" max="15877" width="11.28515625" style="2" customWidth="1"/>
    <col min="15878" max="15878" width="5.85546875" style="2" customWidth="1"/>
    <col min="15879" max="15879" width="11.85546875" style="2" bestFit="1" customWidth="1"/>
    <col min="15880" max="15880" width="10.42578125" style="2" customWidth="1"/>
    <col min="15881" max="15881" width="5.5703125" style="2" customWidth="1"/>
    <col min="15882" max="15882" width="7.5703125" style="2" customWidth="1"/>
    <col min="15883" max="15883" width="13.140625" style="2" bestFit="1" customWidth="1"/>
    <col min="15884" max="15885" width="7" style="2" customWidth="1"/>
    <col min="15886" max="15886" width="11.140625" style="2" customWidth="1"/>
    <col min="15887" max="15887" width="12.5703125" style="2" bestFit="1" customWidth="1"/>
    <col min="15888" max="15888" width="10.42578125" style="2" customWidth="1"/>
    <col min="15889" max="15889" width="7.42578125" style="2" customWidth="1"/>
    <col min="15890" max="15890" width="15.85546875" style="2" bestFit="1" customWidth="1"/>
    <col min="15891" max="15891" width="5.85546875" style="2" customWidth="1"/>
    <col min="15892" max="15898" width="0" style="2" hidden="1" customWidth="1"/>
    <col min="15899" max="16128" width="9" style="2"/>
    <col min="16129" max="16129" width="5" style="2" bestFit="1" customWidth="1"/>
    <col min="16130" max="16130" width="22.85546875" style="2" customWidth="1"/>
    <col min="16131" max="16131" width="15.42578125" style="2" customWidth="1"/>
    <col min="16132" max="16132" width="14.5703125" style="2" customWidth="1"/>
    <col min="16133" max="16133" width="11.28515625" style="2" customWidth="1"/>
    <col min="16134" max="16134" width="5.85546875" style="2" customWidth="1"/>
    <col min="16135" max="16135" width="11.85546875" style="2" bestFit="1" customWidth="1"/>
    <col min="16136" max="16136" width="10.42578125" style="2" customWidth="1"/>
    <col min="16137" max="16137" width="5.5703125" style="2" customWidth="1"/>
    <col min="16138" max="16138" width="7.5703125" style="2" customWidth="1"/>
    <col min="16139" max="16139" width="13.140625" style="2" bestFit="1" customWidth="1"/>
    <col min="16140" max="16141" width="7" style="2" customWidth="1"/>
    <col min="16142" max="16142" width="11.140625" style="2" customWidth="1"/>
    <col min="16143" max="16143" width="12.5703125" style="2" bestFit="1" customWidth="1"/>
    <col min="16144" max="16144" width="10.42578125" style="2" customWidth="1"/>
    <col min="16145" max="16145" width="7.42578125" style="2" customWidth="1"/>
    <col min="16146" max="16146" width="15.85546875" style="2" bestFit="1" customWidth="1"/>
    <col min="16147" max="16147" width="5.85546875" style="2" customWidth="1"/>
    <col min="16148" max="16154" width="0" style="2" hidden="1" customWidth="1"/>
    <col min="16155" max="16384" width="9" style="2"/>
  </cols>
  <sheetData>
    <row r="1" spans="1:28" ht="18.75" x14ac:dyDescent="0.3">
      <c r="A1" s="1"/>
      <c r="B1" s="78" t="s">
        <v>60</v>
      </c>
      <c r="C1" s="82"/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28" ht="13.5" x14ac:dyDescent="0.25">
      <c r="A2" s="3"/>
      <c r="B2" s="4"/>
      <c r="C2" s="83"/>
      <c r="D2" s="5"/>
      <c r="E2" s="4"/>
      <c r="Q2" s="76" t="s">
        <v>62</v>
      </c>
    </row>
    <row r="3" spans="1:28" ht="20.45" customHeight="1" x14ac:dyDescent="0.3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28" ht="20.45" customHeight="1" x14ac:dyDescent="0.3">
      <c r="A4" s="148" t="s">
        <v>61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</row>
    <row r="5" spans="1:28" s="8" customFormat="1" hidden="1" x14ac:dyDescent="0.2">
      <c r="A5" s="6"/>
      <c r="B5" s="23"/>
      <c r="C5" s="84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7"/>
      <c r="Q5" s="23"/>
      <c r="R5" s="23"/>
      <c r="S5" s="23"/>
    </row>
    <row r="6" spans="1:28" s="8" customFormat="1" ht="16.5" hidden="1" customHeight="1" x14ac:dyDescent="0.2">
      <c r="A6" s="9"/>
      <c r="B6" s="10"/>
      <c r="C6" s="81">
        <f>C11+'PB 03 -2024'!C11</f>
        <v>54860.898250839695</v>
      </c>
      <c r="D6" s="29">
        <f>D11+E11+F11+G11+H11</f>
        <v>29101.58329839402</v>
      </c>
      <c r="E6" s="11">
        <f>D6/C11</f>
        <v>0.56755991294273533</v>
      </c>
      <c r="F6" s="2"/>
      <c r="G6" s="11"/>
      <c r="H6" s="2"/>
      <c r="I6" s="73">
        <f>I11+J11</f>
        <v>64.22464685380416</v>
      </c>
      <c r="J6" s="71">
        <f>I6/C11</f>
        <v>1.2525550449736041E-3</v>
      </c>
      <c r="K6" s="5">
        <f>K11+L11+M11+N11+O11</f>
        <v>13903.138972470784</v>
      </c>
      <c r="L6" s="48">
        <f>K6/C11</f>
        <v>0.2711489702789377</v>
      </c>
      <c r="M6" s="4"/>
      <c r="N6" s="4"/>
      <c r="O6" s="4"/>
      <c r="P6" s="5">
        <f>P11+Q11+R11</f>
        <v>8205.9628050374013</v>
      </c>
      <c r="Q6" s="48">
        <f>P6/C11</f>
        <v>0.16003856173335321</v>
      </c>
    </row>
    <row r="7" spans="1:28" s="8" customFormat="1" ht="16.5" customHeight="1" x14ac:dyDescent="0.2">
      <c r="A7" s="9"/>
      <c r="B7" s="10"/>
      <c r="C7" s="81"/>
      <c r="D7" s="11"/>
      <c r="E7" s="11"/>
      <c r="F7" s="2"/>
      <c r="G7" s="11"/>
      <c r="H7" s="2"/>
      <c r="I7" s="72"/>
      <c r="J7" s="2"/>
      <c r="K7" s="12"/>
      <c r="L7" s="11"/>
      <c r="M7" s="2"/>
      <c r="N7" s="2"/>
      <c r="O7" s="2"/>
      <c r="P7" s="12"/>
      <c r="Q7" s="11"/>
      <c r="R7" s="75" t="s">
        <v>63</v>
      </c>
      <c r="S7" s="13"/>
    </row>
    <row r="8" spans="1:28" s="8" customFormat="1" ht="19.5" customHeight="1" x14ac:dyDescent="0.2">
      <c r="A8" s="154" t="s">
        <v>4</v>
      </c>
      <c r="B8" s="138" t="s">
        <v>5</v>
      </c>
      <c r="C8" s="138" t="s">
        <v>6</v>
      </c>
      <c r="D8" s="138" t="s">
        <v>7</v>
      </c>
      <c r="E8" s="138"/>
      <c r="F8" s="138"/>
      <c r="G8" s="138"/>
      <c r="H8" s="138"/>
      <c r="I8" s="138" t="s">
        <v>8</v>
      </c>
      <c r="J8" s="138"/>
      <c r="K8" s="138" t="s">
        <v>9</v>
      </c>
      <c r="L8" s="138"/>
      <c r="M8" s="138"/>
      <c r="N8" s="138"/>
      <c r="O8" s="138"/>
      <c r="P8" s="138" t="s">
        <v>10</v>
      </c>
      <c r="Q8" s="138"/>
      <c r="R8" s="138"/>
      <c r="S8" s="138" t="s">
        <v>11</v>
      </c>
    </row>
    <row r="9" spans="1:28" s="8" customFormat="1" ht="87.75" customHeight="1" x14ac:dyDescent="0.2">
      <c r="A9" s="154"/>
      <c r="B9" s="138"/>
      <c r="C9" s="138"/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4" t="s">
        <v>17</v>
      </c>
      <c r="J9" s="14" t="s">
        <v>18</v>
      </c>
      <c r="K9" s="14" t="s">
        <v>19</v>
      </c>
      <c r="L9" s="14" t="s">
        <v>20</v>
      </c>
      <c r="M9" s="14" t="s">
        <v>21</v>
      </c>
      <c r="N9" s="14" t="s">
        <v>22</v>
      </c>
      <c r="O9" s="14" t="s">
        <v>23</v>
      </c>
      <c r="P9" s="14" t="s">
        <v>24</v>
      </c>
      <c r="Q9" s="14" t="s">
        <v>25</v>
      </c>
      <c r="R9" s="15" t="s">
        <v>10</v>
      </c>
      <c r="S9" s="138"/>
    </row>
    <row r="10" spans="1:28" s="99" customFormat="1" ht="15.75" x14ac:dyDescent="0.25">
      <c r="A10" s="95" t="s">
        <v>26</v>
      </c>
      <c r="B10" s="96" t="s">
        <v>27</v>
      </c>
      <c r="C10" s="96" t="s">
        <v>28</v>
      </c>
      <c r="D10" s="97">
        <v>2</v>
      </c>
      <c r="E10" s="98">
        <v>3</v>
      </c>
      <c r="F10" s="97">
        <v>4</v>
      </c>
      <c r="G10" s="97">
        <v>5</v>
      </c>
      <c r="H10" s="97">
        <v>6</v>
      </c>
      <c r="I10" s="97">
        <v>7</v>
      </c>
      <c r="J10" s="97">
        <v>8</v>
      </c>
      <c r="K10" s="97">
        <v>9</v>
      </c>
      <c r="L10" s="97">
        <v>10</v>
      </c>
      <c r="M10" s="97">
        <v>11</v>
      </c>
      <c r="N10" s="97">
        <v>12</v>
      </c>
      <c r="O10" s="97">
        <v>13</v>
      </c>
      <c r="P10" s="97">
        <v>14</v>
      </c>
      <c r="Q10" s="97">
        <v>15</v>
      </c>
      <c r="R10" s="97">
        <v>16</v>
      </c>
      <c r="S10" s="97">
        <v>17</v>
      </c>
    </row>
    <row r="11" spans="1:28" s="99" customFormat="1" ht="23.25" customHeight="1" x14ac:dyDescent="0.25">
      <c r="A11" s="100"/>
      <c r="B11" s="101" t="s">
        <v>29</v>
      </c>
      <c r="C11" s="102">
        <f t="shared" ref="C11:R11" si="0">SUM(C14:C36)</f>
        <v>51274.90972275602</v>
      </c>
      <c r="D11" s="103">
        <f t="shared" si="0"/>
        <v>19878.992997828478</v>
      </c>
      <c r="E11" s="103">
        <f t="shared" si="0"/>
        <v>4108.4726656189996</v>
      </c>
      <c r="F11" s="103">
        <f t="shared" si="0"/>
        <v>1570.3316130013457</v>
      </c>
      <c r="G11" s="103">
        <f t="shared" si="0"/>
        <v>2949.8916544172539</v>
      </c>
      <c r="H11" s="103">
        <f t="shared" si="0"/>
        <v>593.89436752794404</v>
      </c>
      <c r="I11" s="103">
        <f t="shared" si="0"/>
        <v>9.6918179999999996E-3</v>
      </c>
      <c r="J11" s="103">
        <f t="shared" si="0"/>
        <v>64.214955035804167</v>
      </c>
      <c r="K11" s="103">
        <f t="shared" si="0"/>
        <v>8289.2219133830004</v>
      </c>
      <c r="L11" s="103">
        <f t="shared" si="0"/>
        <v>199.30814912599999</v>
      </c>
      <c r="M11" s="103">
        <f t="shared" si="0"/>
        <v>1559.9232669024625</v>
      </c>
      <c r="N11" s="103">
        <f t="shared" si="0"/>
        <v>938.07118745632135</v>
      </c>
      <c r="O11" s="103">
        <f t="shared" si="0"/>
        <v>2916.6144556030004</v>
      </c>
      <c r="P11" s="103">
        <f t="shared" si="0"/>
        <v>30.946503</v>
      </c>
      <c r="Q11" s="103">
        <f t="shared" si="0"/>
        <v>772.86037865999981</v>
      </c>
      <c r="R11" s="103">
        <f t="shared" si="0"/>
        <v>7402.1559233774024</v>
      </c>
      <c r="S11" s="104"/>
      <c r="AA11" s="105">
        <f t="shared" ref="AA11:AA13" si="1">SUM(D11:R11)</f>
        <v>51274.909722756005</v>
      </c>
      <c r="AB11" s="105">
        <f t="shared" ref="AB11:AB13" si="2">AA11-C11</f>
        <v>0</v>
      </c>
    </row>
    <row r="12" spans="1:28" s="99" customFormat="1" ht="23.25" customHeight="1" x14ac:dyDescent="0.25">
      <c r="A12" s="100"/>
      <c r="B12" s="101" t="s">
        <v>58</v>
      </c>
      <c r="C12" s="106"/>
      <c r="D12" s="107">
        <f>D11/C11</f>
        <v>0.38769435393088753</v>
      </c>
      <c r="E12" s="107">
        <f>E11/C11</f>
        <v>8.0126375411162201E-2</v>
      </c>
      <c r="F12" s="107">
        <f>F11/C11</f>
        <v>3.0625731405323684E-2</v>
      </c>
      <c r="G12" s="107">
        <f>G11/C11</f>
        <v>5.7530899037508777E-2</v>
      </c>
      <c r="H12" s="107">
        <f>H11/C11</f>
        <v>1.1582553157853172E-2</v>
      </c>
      <c r="I12" s="107">
        <f>I11/C11</f>
        <v>1.8901677355267444E-7</v>
      </c>
      <c r="J12" s="107">
        <f>J11/C11</f>
        <v>1.2523660282000517E-3</v>
      </c>
      <c r="K12" s="107">
        <f>K11/C11</f>
        <v>0.16166234047417949</v>
      </c>
      <c r="L12" s="107">
        <f>L11/C11</f>
        <v>3.8870502201498016E-3</v>
      </c>
      <c r="M12" s="107">
        <f>M11/C11</f>
        <v>3.0422740387783892E-2</v>
      </c>
      <c r="N12" s="107">
        <f>N11/C11</f>
        <v>1.8294935915606332E-2</v>
      </c>
      <c r="O12" s="107">
        <f>O11/C11</f>
        <v>5.6881903281218157E-2</v>
      </c>
      <c r="P12" s="107">
        <f>P11/C11</f>
        <v>6.0354085784505656E-4</v>
      </c>
      <c r="Q12" s="107">
        <f>Q11/C11</f>
        <v>1.507287643876633E-2</v>
      </c>
      <c r="R12" s="107">
        <f>R11/C11</f>
        <v>0.14436214443674183</v>
      </c>
      <c r="S12" s="108"/>
      <c r="AA12" s="105">
        <f t="shared" si="1"/>
        <v>0.99999999999999978</v>
      </c>
      <c r="AB12" s="105">
        <f t="shared" si="2"/>
        <v>0.99999999999999978</v>
      </c>
    </row>
    <row r="13" spans="1:28" s="99" customFormat="1" ht="23.25" customHeight="1" x14ac:dyDescent="0.25">
      <c r="A13" s="100"/>
      <c r="B13" s="109"/>
      <c r="C13" s="110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4"/>
      <c r="AA13" s="105">
        <f t="shared" si="1"/>
        <v>0</v>
      </c>
      <c r="AB13" s="105">
        <f t="shared" si="2"/>
        <v>0</v>
      </c>
    </row>
    <row r="14" spans="1:28" s="115" customFormat="1" ht="23.25" customHeight="1" x14ac:dyDescent="0.25">
      <c r="A14" s="100">
        <v>1</v>
      </c>
      <c r="B14" s="111" t="s">
        <v>31</v>
      </c>
      <c r="C14" s="112">
        <f>SUM(D14:R14)</f>
        <v>14.934414346999999</v>
      </c>
      <c r="D14" s="113">
        <f>997638978/(10^9)</f>
        <v>0.99763897800000001</v>
      </c>
      <c r="E14" s="113">
        <f>186000000/(10^9)</f>
        <v>0.186</v>
      </c>
      <c r="F14" s="113">
        <f t="shared" ref="F14:F20" si="3">0/(10^9)</f>
        <v>0</v>
      </c>
      <c r="G14" s="113">
        <f>10441802200/(10^9)</f>
        <v>10.4418022</v>
      </c>
      <c r="H14" s="113">
        <f t="shared" ref="H14:Q14" si="4">0/(10^9)</f>
        <v>0</v>
      </c>
      <c r="I14" s="113">
        <f t="shared" si="4"/>
        <v>0</v>
      </c>
      <c r="J14" s="113">
        <f t="shared" si="4"/>
        <v>0</v>
      </c>
      <c r="K14" s="113">
        <f t="shared" si="4"/>
        <v>0</v>
      </c>
      <c r="L14" s="113">
        <f t="shared" si="4"/>
        <v>0</v>
      </c>
      <c r="M14" s="113">
        <f t="shared" si="4"/>
        <v>0</v>
      </c>
      <c r="N14" s="113">
        <f t="shared" si="4"/>
        <v>0</v>
      </c>
      <c r="O14" s="113">
        <f t="shared" si="4"/>
        <v>0</v>
      </c>
      <c r="P14" s="113">
        <f t="shared" si="4"/>
        <v>0</v>
      </c>
      <c r="Q14" s="113">
        <f t="shared" si="4"/>
        <v>0</v>
      </c>
      <c r="R14" s="113">
        <f>3308973169/(10^9)</f>
        <v>3.3089731690000002</v>
      </c>
      <c r="S14" s="114"/>
      <c r="AA14" s="105">
        <f>SUM(D14:R14)</f>
        <v>14.934414346999999</v>
      </c>
      <c r="AB14" s="105">
        <f>AA14-C14</f>
        <v>0</v>
      </c>
    </row>
    <row r="15" spans="1:28" s="99" customFormat="1" ht="23.25" customHeight="1" x14ac:dyDescent="0.25">
      <c r="A15" s="100">
        <v>2</v>
      </c>
      <c r="B15" s="111" t="s">
        <v>30</v>
      </c>
      <c r="C15" s="112">
        <f>SUM(D15:R15)</f>
        <v>30.703734195999999</v>
      </c>
      <c r="D15" s="113">
        <f>0/(10^9)</f>
        <v>0</v>
      </c>
      <c r="E15" s="113">
        <f>0/(10^9)</f>
        <v>0</v>
      </c>
      <c r="F15" s="113">
        <f t="shared" si="3"/>
        <v>0</v>
      </c>
      <c r="G15" s="113">
        <f t="shared" ref="G15:L16" si="5">0/(10^9)</f>
        <v>0</v>
      </c>
      <c r="H15" s="113">
        <f t="shared" si="5"/>
        <v>0</v>
      </c>
      <c r="I15" s="113">
        <f t="shared" si="5"/>
        <v>0</v>
      </c>
      <c r="J15" s="113">
        <f t="shared" si="5"/>
        <v>0</v>
      </c>
      <c r="K15" s="113">
        <f t="shared" si="5"/>
        <v>0</v>
      </c>
      <c r="L15" s="113">
        <f t="shared" si="5"/>
        <v>0</v>
      </c>
      <c r="M15" s="113">
        <f>31698000/(10^9)</f>
        <v>3.1697999999999997E-2</v>
      </c>
      <c r="N15" s="113">
        <f t="shared" ref="N15:Q16" si="6">0/(10^9)</f>
        <v>0</v>
      </c>
      <c r="O15" s="113">
        <f t="shared" si="6"/>
        <v>0</v>
      </c>
      <c r="P15" s="113">
        <f t="shared" si="6"/>
        <v>0</v>
      </c>
      <c r="Q15" s="113">
        <f t="shared" si="6"/>
        <v>0</v>
      </c>
      <c r="R15" s="113">
        <f>30672036196/(10^9)</f>
        <v>30.672036196000001</v>
      </c>
      <c r="S15" s="116"/>
      <c r="AA15" s="105">
        <f t="shared" ref="AA15:AA36" si="7">SUM(D15:R15)</f>
        <v>30.703734195999999</v>
      </c>
      <c r="AB15" s="105">
        <f>AA15-C15</f>
        <v>0</v>
      </c>
    </row>
    <row r="16" spans="1:28" s="118" customFormat="1" ht="23.25" customHeight="1" x14ac:dyDescent="0.25">
      <c r="A16" s="100">
        <v>3</v>
      </c>
      <c r="B16" s="117" t="s">
        <v>32</v>
      </c>
      <c r="C16" s="112">
        <f>SUM(D16:R16)</f>
        <v>0.287292033</v>
      </c>
      <c r="D16" s="113">
        <f>0/(10^9)</f>
        <v>0</v>
      </c>
      <c r="E16" s="113">
        <f>0/(10^9)</f>
        <v>0</v>
      </c>
      <c r="F16" s="113">
        <f t="shared" si="3"/>
        <v>0</v>
      </c>
      <c r="G16" s="113">
        <f t="shared" si="5"/>
        <v>0</v>
      </c>
      <c r="H16" s="113">
        <f t="shared" si="5"/>
        <v>0</v>
      </c>
      <c r="I16" s="113">
        <f t="shared" si="5"/>
        <v>0</v>
      </c>
      <c r="J16" s="113">
        <f t="shared" si="5"/>
        <v>0</v>
      </c>
      <c r="K16" s="113">
        <f t="shared" si="5"/>
        <v>0</v>
      </c>
      <c r="L16" s="113">
        <f t="shared" si="5"/>
        <v>0</v>
      </c>
      <c r="M16" s="113">
        <f>287292033/(10^9)</f>
        <v>0.287292033</v>
      </c>
      <c r="N16" s="113">
        <f t="shared" si="6"/>
        <v>0</v>
      </c>
      <c r="O16" s="113">
        <f t="shared" si="6"/>
        <v>0</v>
      </c>
      <c r="P16" s="113">
        <f t="shared" si="6"/>
        <v>0</v>
      </c>
      <c r="Q16" s="113">
        <f t="shared" si="6"/>
        <v>0</v>
      </c>
      <c r="R16" s="113">
        <f>0/(10^9)</f>
        <v>0</v>
      </c>
      <c r="S16" s="114"/>
      <c r="AA16" s="105">
        <f t="shared" si="7"/>
        <v>0.287292033</v>
      </c>
      <c r="AB16" s="105">
        <f t="shared" ref="AB16:AB36" si="8">AA16-C16</f>
        <v>0</v>
      </c>
    </row>
    <row r="17" spans="1:28" s="118" customFormat="1" ht="23.25" customHeight="1" x14ac:dyDescent="0.25">
      <c r="A17" s="100">
        <v>4</v>
      </c>
      <c r="B17" s="117" t="s">
        <v>33</v>
      </c>
      <c r="C17" s="112">
        <f t="shared" ref="C17:C36" si="9">SUM(D17:R17)</f>
        <v>869.16072873299993</v>
      </c>
      <c r="D17" s="113">
        <f>52800978311/(10^9)</f>
        <v>52.800978311000001</v>
      </c>
      <c r="E17" s="113">
        <f>197215305985/(10^9)</f>
        <v>197.21530598499999</v>
      </c>
      <c r="F17" s="113">
        <f t="shared" si="3"/>
        <v>0</v>
      </c>
      <c r="G17" s="113">
        <f>229204647845/(10^9)</f>
        <v>229.20464784500001</v>
      </c>
      <c r="H17" s="113">
        <f>165738384/(10^9)</f>
        <v>0.16573838399999999</v>
      </c>
      <c r="I17" s="113">
        <f t="shared" ref="I17:J20" si="10">0/(10^9)</f>
        <v>0</v>
      </c>
      <c r="J17" s="113">
        <f t="shared" si="10"/>
        <v>0</v>
      </c>
      <c r="K17" s="113">
        <f>144773745603/(10^9)</f>
        <v>144.77374560300001</v>
      </c>
      <c r="L17" s="113">
        <f t="shared" ref="L17:L24" si="11">0/(10^9)</f>
        <v>0</v>
      </c>
      <c r="M17" s="113">
        <f>9128720704/(10^9)</f>
        <v>9.1287207039999991</v>
      </c>
      <c r="N17" s="113">
        <f>137414129099/(10^9)</f>
        <v>137.41412909900001</v>
      </c>
      <c r="O17" s="113">
        <f>6676005391/(10^9)</f>
        <v>6.6760053910000003</v>
      </c>
      <c r="P17" s="113">
        <f>0/(10^9)</f>
        <v>0</v>
      </c>
      <c r="Q17" s="113">
        <f>0/(10^9)</f>
        <v>0</v>
      </c>
      <c r="R17" s="113">
        <f>91781457411/(10^9)</f>
        <v>91.781457411000005</v>
      </c>
      <c r="S17" s="114">
        <v>0</v>
      </c>
      <c r="AA17" s="105">
        <f t="shared" si="7"/>
        <v>869.16072873299993</v>
      </c>
      <c r="AB17" s="105">
        <f t="shared" si="8"/>
        <v>0</v>
      </c>
    </row>
    <row r="18" spans="1:28" s="118" customFormat="1" ht="23.25" customHeight="1" x14ac:dyDescent="0.25">
      <c r="A18" s="100">
        <v>5</v>
      </c>
      <c r="B18" s="117" t="s">
        <v>35</v>
      </c>
      <c r="C18" s="112">
        <f t="shared" si="9"/>
        <v>702.04707197687947</v>
      </c>
      <c r="D18" s="113">
        <f>111496117757.17/(10^9)</f>
        <v>111.49611775717</v>
      </c>
      <c r="E18" s="113">
        <f>564209681093/(10^9)</f>
        <v>564.20968109299997</v>
      </c>
      <c r="F18" s="113">
        <f t="shared" si="3"/>
        <v>0</v>
      </c>
      <c r="G18" s="113">
        <f>3268584617.71848/(10^9)</f>
        <v>3.2685846177184801</v>
      </c>
      <c r="H18" s="113">
        <f>8373630349/(10^9)</f>
        <v>8.3736303490000008</v>
      </c>
      <c r="I18" s="113">
        <f t="shared" si="10"/>
        <v>0</v>
      </c>
      <c r="J18" s="113">
        <f t="shared" si="10"/>
        <v>0</v>
      </c>
      <c r="K18" s="113">
        <f>0/(10^9)</f>
        <v>0</v>
      </c>
      <c r="L18" s="113">
        <f t="shared" si="11"/>
        <v>0</v>
      </c>
      <c r="M18" s="113">
        <f>626384159.991048/(10^9)</f>
        <v>0.62638415999104802</v>
      </c>
      <c r="N18" s="113">
        <f>0/(10^9)</f>
        <v>0</v>
      </c>
      <c r="O18" s="113">
        <f>4554312000/(10^9)</f>
        <v>4.5543120000000004</v>
      </c>
      <c r="P18" s="113">
        <f>0/(10^9)</f>
        <v>0</v>
      </c>
      <c r="Q18" s="113">
        <f>996815186/(10^9)</f>
        <v>0.99681518599999996</v>
      </c>
      <c r="R18" s="113">
        <f>8521546814/(10^9)</f>
        <v>8.5215468140000006</v>
      </c>
      <c r="S18" s="114"/>
      <c r="AA18" s="105">
        <f t="shared" si="7"/>
        <v>702.04707197687947</v>
      </c>
      <c r="AB18" s="105">
        <f t="shared" si="8"/>
        <v>0</v>
      </c>
    </row>
    <row r="19" spans="1:28" s="118" customFormat="1" ht="23.25" customHeight="1" x14ac:dyDescent="0.25">
      <c r="A19" s="100">
        <v>6</v>
      </c>
      <c r="B19" s="117" t="s">
        <v>36</v>
      </c>
      <c r="C19" s="112">
        <f t="shared" si="9"/>
        <v>3536.117278916</v>
      </c>
      <c r="D19" s="113">
        <f>79437207969/(10^9)</f>
        <v>79.437207968999999</v>
      </c>
      <c r="E19" s="113">
        <f>2947395049208/(10^9)</f>
        <v>2947.3950492079998</v>
      </c>
      <c r="F19" s="113">
        <f t="shared" si="3"/>
        <v>0</v>
      </c>
      <c r="G19" s="113">
        <f>0/(10^9)</f>
        <v>0</v>
      </c>
      <c r="H19" s="113">
        <f>0/(10^9)</f>
        <v>0</v>
      </c>
      <c r="I19" s="113">
        <f t="shared" si="10"/>
        <v>0</v>
      </c>
      <c r="J19" s="113">
        <f t="shared" si="10"/>
        <v>0</v>
      </c>
      <c r="K19" s="113">
        <f>5115188000/(10^9)</f>
        <v>5.1151879999999998</v>
      </c>
      <c r="L19" s="113">
        <f t="shared" si="11"/>
        <v>0</v>
      </c>
      <c r="M19" s="113">
        <f>253499000/(10^9)</f>
        <v>0.25349899999999997</v>
      </c>
      <c r="N19" s="113">
        <f>0/(10^9)</f>
        <v>0</v>
      </c>
      <c r="O19" s="113">
        <f>34222794233/(10^9)</f>
        <v>34.222794233000002</v>
      </c>
      <c r="P19" s="113">
        <f>0/(10^9)</f>
        <v>0</v>
      </c>
      <c r="Q19" s="113">
        <f>399087196695/(10^9)</f>
        <v>399.08719669499999</v>
      </c>
      <c r="R19" s="113">
        <f>70606343811/(10^9)</f>
        <v>70.606343811000002</v>
      </c>
      <c r="S19" s="114"/>
      <c r="AA19" s="105">
        <f t="shared" si="7"/>
        <v>3536.117278916</v>
      </c>
      <c r="AB19" s="105">
        <f t="shared" si="8"/>
        <v>0</v>
      </c>
    </row>
    <row r="20" spans="1:28" s="118" customFormat="1" ht="23.25" customHeight="1" x14ac:dyDescent="0.25">
      <c r="A20" s="100">
        <v>7</v>
      </c>
      <c r="B20" s="117" t="s">
        <v>37</v>
      </c>
      <c r="C20" s="112">
        <f t="shared" si="9"/>
        <v>801.09497926185486</v>
      </c>
      <c r="D20" s="113">
        <f>676942351402.855/(10^9)</f>
        <v>676.94235140285502</v>
      </c>
      <c r="E20" s="113">
        <f>5749693826/(10^9)</f>
        <v>5.7496938259999997</v>
      </c>
      <c r="F20" s="113">
        <f t="shared" si="3"/>
        <v>0</v>
      </c>
      <c r="G20" s="113">
        <f>3656602447/(10^9)</f>
        <v>3.656602447</v>
      </c>
      <c r="H20" s="113">
        <f>85793277714/(10^9)</f>
        <v>85.793277713999998</v>
      </c>
      <c r="I20" s="113">
        <f t="shared" si="10"/>
        <v>0</v>
      </c>
      <c r="J20" s="113">
        <f t="shared" si="10"/>
        <v>0</v>
      </c>
      <c r="K20" s="113">
        <f>16964711139/(10^9)</f>
        <v>16.964711138999998</v>
      </c>
      <c r="L20" s="113">
        <f t="shared" si="11"/>
        <v>0</v>
      </c>
      <c r="M20" s="113">
        <f>7631098731/(10^9)</f>
        <v>7.6310987309999998</v>
      </c>
      <c r="N20" s="113">
        <f>105339000/(10^9)</f>
        <v>0.105339</v>
      </c>
      <c r="O20" s="113">
        <f>4251905002/(10^9)</f>
        <v>4.251905002</v>
      </c>
      <c r="P20" s="113">
        <f>0/(10^9)</f>
        <v>0</v>
      </c>
      <c r="Q20" s="113">
        <f>0/(10^9)</f>
        <v>0</v>
      </c>
      <c r="R20" s="113">
        <f>0/(10^9)</f>
        <v>0</v>
      </c>
      <c r="S20" s="114"/>
      <c r="AA20" s="105">
        <f t="shared" si="7"/>
        <v>801.09497926185486</v>
      </c>
      <c r="AB20" s="105">
        <f t="shared" si="8"/>
        <v>0</v>
      </c>
    </row>
    <row r="21" spans="1:28" s="118" customFormat="1" ht="23.25" customHeight="1" x14ac:dyDescent="0.25">
      <c r="A21" s="100">
        <v>8</v>
      </c>
      <c r="B21" s="117" t="s">
        <v>38</v>
      </c>
      <c r="C21" s="112">
        <f t="shared" si="9"/>
        <v>6157.2639936819996</v>
      </c>
      <c r="D21" s="113">
        <f>268106807258/(10^9)</f>
        <v>268.106807258</v>
      </c>
      <c r="E21" s="113">
        <f>0/(10^9)</f>
        <v>0</v>
      </c>
      <c r="F21" s="113">
        <f>1192159578/(10^9)</f>
        <v>1.1921595780000001</v>
      </c>
      <c r="G21" s="113">
        <f>310113307381/(10^9)</f>
        <v>310.11330738100003</v>
      </c>
      <c r="H21" s="113">
        <f>11491420183/(10^9)</f>
        <v>11.491420183000001</v>
      </c>
      <c r="I21" s="113">
        <f>1894000/(10^9)</f>
        <v>1.8940000000000001E-3</v>
      </c>
      <c r="J21" s="113">
        <f>40733332000/(10^9)</f>
        <v>40.733331999999997</v>
      </c>
      <c r="K21" s="113">
        <f>868876328143/(10^9)</f>
        <v>868.87632814300002</v>
      </c>
      <c r="L21" s="113">
        <f t="shared" si="11"/>
        <v>0</v>
      </c>
      <c r="M21" s="113">
        <f>448752363139/(10^9)</f>
        <v>448.75236313900001</v>
      </c>
      <c r="N21" s="113">
        <f>44810406866/(10^9)</f>
        <v>44.810406866000001</v>
      </c>
      <c r="O21" s="113">
        <f>1841374830952/(10^9)</f>
        <v>1841.3748309519999</v>
      </c>
      <c r="P21" s="113">
        <f>30900610000/(10^9)</f>
        <v>30.90061</v>
      </c>
      <c r="Q21" s="113">
        <f>151446563949/(10^9)</f>
        <v>151.44656394899999</v>
      </c>
      <c r="R21" s="113">
        <f>2139463970233/(10^9)</f>
        <v>2139.4639702330001</v>
      </c>
      <c r="S21" s="114"/>
      <c r="AA21" s="105">
        <f t="shared" si="7"/>
        <v>6157.2639936819996</v>
      </c>
      <c r="AB21" s="105">
        <f t="shared" si="8"/>
        <v>0</v>
      </c>
    </row>
    <row r="22" spans="1:28" s="118" customFormat="1" ht="23.25" customHeight="1" x14ac:dyDescent="0.25">
      <c r="A22" s="100">
        <v>9</v>
      </c>
      <c r="B22" s="117" t="s">
        <v>39</v>
      </c>
      <c r="C22" s="112">
        <f t="shared" si="9"/>
        <v>7669.9140096250003</v>
      </c>
      <c r="D22" s="113">
        <f>589993261251/(10^9)</f>
        <v>589.99326125100004</v>
      </c>
      <c r="E22" s="113">
        <f>62526179339/(10^9)</f>
        <v>62.526179339000002</v>
      </c>
      <c r="F22" s="113">
        <f>1109430431422/(10^9)</f>
        <v>1109.4304314220001</v>
      </c>
      <c r="G22" s="113">
        <f>1917508173768/(10^9)</f>
        <v>1917.508173768</v>
      </c>
      <c r="H22" s="113">
        <f>43900564862/(10^9)</f>
        <v>43.900564862000003</v>
      </c>
      <c r="I22" s="113">
        <f t="shared" ref="I22:J24" si="12">0/(10^9)</f>
        <v>0</v>
      </c>
      <c r="J22" s="113">
        <f t="shared" si="12"/>
        <v>0</v>
      </c>
      <c r="K22" s="113">
        <f>2412395549002/(10^9)</f>
        <v>2412.3955490019998</v>
      </c>
      <c r="L22" s="113">
        <f t="shared" si="11"/>
        <v>0</v>
      </c>
      <c r="M22" s="113">
        <f>951113919414/(10^9)</f>
        <v>951.11391941399995</v>
      </c>
      <c r="N22" s="113">
        <f>54683081019/(10^9)</f>
        <v>54.683081018999999</v>
      </c>
      <c r="O22" s="113">
        <f>10784526781/(10^9)</f>
        <v>10.784526781</v>
      </c>
      <c r="P22" s="113">
        <f>0/(10^9)</f>
        <v>0</v>
      </c>
      <c r="Q22" s="113">
        <f>115602401592/(10^9)</f>
        <v>115.60240159200001</v>
      </c>
      <c r="R22" s="113">
        <f>401975921175/(10^9)</f>
        <v>401.975921175</v>
      </c>
      <c r="S22" s="114"/>
      <c r="AA22" s="105">
        <f t="shared" si="7"/>
        <v>7669.9140096250003</v>
      </c>
      <c r="AB22" s="105">
        <f t="shared" si="8"/>
        <v>0</v>
      </c>
    </row>
    <row r="23" spans="1:28" s="115" customFormat="1" ht="23.25" customHeight="1" x14ac:dyDescent="0.25">
      <c r="A23" s="100">
        <v>10</v>
      </c>
      <c r="B23" s="117" t="s">
        <v>40</v>
      </c>
      <c r="C23" s="112">
        <f t="shared" si="9"/>
        <v>282.84106917100002</v>
      </c>
      <c r="D23" s="113">
        <f>9102947057/(10^9)</f>
        <v>9.1029470569999997</v>
      </c>
      <c r="E23" s="113">
        <f>0/(10^9)</f>
        <v>0</v>
      </c>
      <c r="F23" s="113">
        <f>0/(10^9)</f>
        <v>0</v>
      </c>
      <c r="G23" s="113">
        <f>1942151090/(10^9)</f>
        <v>1.9421510900000001</v>
      </c>
      <c r="H23" s="113">
        <f>7184338459/(10^9)</f>
        <v>7.1843384590000001</v>
      </c>
      <c r="I23" s="113">
        <f t="shared" si="12"/>
        <v>0</v>
      </c>
      <c r="J23" s="113">
        <f t="shared" si="12"/>
        <v>0</v>
      </c>
      <c r="K23" s="113">
        <f>0/(10^9)</f>
        <v>0</v>
      </c>
      <c r="L23" s="113">
        <f t="shared" si="11"/>
        <v>0</v>
      </c>
      <c r="M23" s="113">
        <f>3117091893/(10^9)</f>
        <v>3.117091893</v>
      </c>
      <c r="N23" s="113">
        <f>0/(10^9)</f>
        <v>0</v>
      </c>
      <c r="O23" s="113">
        <f>0/(10^9)</f>
        <v>0</v>
      </c>
      <c r="P23" s="113">
        <f>0/(10^9)</f>
        <v>0</v>
      </c>
      <c r="Q23" s="113">
        <f>0/(10^9)</f>
        <v>0</v>
      </c>
      <c r="R23" s="113">
        <f>261494540672/(10^9)</f>
        <v>261.49454067200003</v>
      </c>
      <c r="S23" s="114"/>
      <c r="AA23" s="105">
        <f t="shared" si="7"/>
        <v>282.84106917100002</v>
      </c>
      <c r="AB23" s="105">
        <f t="shared" si="8"/>
        <v>0</v>
      </c>
    </row>
    <row r="24" spans="1:28" s="99" customFormat="1" ht="23.25" customHeight="1" x14ac:dyDescent="0.25">
      <c r="A24" s="100">
        <v>11</v>
      </c>
      <c r="B24" s="117" t="s">
        <v>41</v>
      </c>
      <c r="C24" s="112">
        <f t="shared" si="9"/>
        <v>1150.0751875363701</v>
      </c>
      <c r="D24" s="113">
        <f>1011435951547.37/(10^9)</f>
        <v>1011.43595154737</v>
      </c>
      <c r="E24" s="113">
        <f>3036636829/(10^9)</f>
        <v>3.0366368289999999</v>
      </c>
      <c r="F24" s="113">
        <f>0/(10^9)</f>
        <v>0</v>
      </c>
      <c r="G24" s="113">
        <f>1744002905/(10^9)</f>
        <v>1.7440029050000001</v>
      </c>
      <c r="H24" s="113">
        <f>0/(10^9)</f>
        <v>0</v>
      </c>
      <c r="I24" s="113">
        <f t="shared" si="12"/>
        <v>0</v>
      </c>
      <c r="J24" s="113">
        <f t="shared" si="12"/>
        <v>0</v>
      </c>
      <c r="K24" s="113">
        <f>101251939269/(10^9)</f>
        <v>101.251939269</v>
      </c>
      <c r="L24" s="113">
        <f t="shared" si="11"/>
        <v>0</v>
      </c>
      <c r="M24" s="113">
        <f>0/(10^9)</f>
        <v>0</v>
      </c>
      <c r="N24" s="113">
        <f>0/(10^9)</f>
        <v>0</v>
      </c>
      <c r="O24" s="113">
        <f>14271659093/(10^9)</f>
        <v>14.271659093</v>
      </c>
      <c r="P24" s="113">
        <f>0/(10^9)</f>
        <v>0</v>
      </c>
      <c r="Q24" s="113">
        <f>0/(10^9)</f>
        <v>0</v>
      </c>
      <c r="R24" s="113">
        <f>18334997893/(10^9)</f>
        <v>18.334997893000001</v>
      </c>
      <c r="S24" s="116"/>
      <c r="AA24" s="105">
        <f t="shared" si="7"/>
        <v>1150.0751875363701</v>
      </c>
      <c r="AB24" s="105">
        <f t="shared" si="8"/>
        <v>0</v>
      </c>
    </row>
    <row r="25" spans="1:28" s="120" customFormat="1" ht="23.25" customHeight="1" x14ac:dyDescent="0.25">
      <c r="A25" s="100">
        <v>12</v>
      </c>
      <c r="B25" s="117" t="s">
        <v>42</v>
      </c>
      <c r="C25" s="112">
        <f t="shared" si="9"/>
        <v>7060.1098311369997</v>
      </c>
      <c r="D25" s="113">
        <f>5232072526779/(10^9)</f>
        <v>5232.0725267790003</v>
      </c>
      <c r="E25" s="113">
        <f>21658713241/(10^9)</f>
        <v>21.658713241000001</v>
      </c>
      <c r="F25" s="113">
        <f>29443589537/(10^9)</f>
        <v>29.443589537000001</v>
      </c>
      <c r="G25" s="113">
        <f>13118618666/(10^9)</f>
        <v>13.118618666</v>
      </c>
      <c r="H25" s="113">
        <f>128379517261/(10^9)</f>
        <v>128.37951726099999</v>
      </c>
      <c r="I25" s="113">
        <f>0/(10^9)</f>
        <v>0</v>
      </c>
      <c r="J25" s="113">
        <f>503466426/(10^9)</f>
        <v>0.50346642600000002</v>
      </c>
      <c r="K25" s="113">
        <f>279387180895/(10^9)</f>
        <v>279.38718089499997</v>
      </c>
      <c r="L25" s="113">
        <f>25455486382/(10^9)</f>
        <v>25.455486382</v>
      </c>
      <c r="M25" s="113">
        <f>3907365407/(10^9)</f>
        <v>3.9073654069999999</v>
      </c>
      <c r="N25" s="113">
        <f>2289078710/(10^9)</f>
        <v>2.2890787100000001</v>
      </c>
      <c r="O25" s="113">
        <f>908537799686/(10^9)</f>
        <v>908.53779968599997</v>
      </c>
      <c r="P25" s="113">
        <f>0/(10^9)</f>
        <v>0</v>
      </c>
      <c r="Q25" s="113">
        <f>16988636/(10^9)</f>
        <v>1.6988636000000001E-2</v>
      </c>
      <c r="R25" s="113">
        <f>415339499511/(10^9)</f>
        <v>415.33949951099999</v>
      </c>
      <c r="S25" s="119"/>
      <c r="AA25" s="105">
        <f t="shared" si="7"/>
        <v>7060.1098311369997</v>
      </c>
      <c r="AB25" s="105">
        <f t="shared" si="8"/>
        <v>0</v>
      </c>
    </row>
    <row r="26" spans="1:28" s="120" customFormat="1" ht="23.25" customHeight="1" x14ac:dyDescent="0.25">
      <c r="A26" s="100">
        <v>13</v>
      </c>
      <c r="B26" s="117" t="s">
        <v>43</v>
      </c>
      <c r="C26" s="112">
        <f t="shared" si="9"/>
        <v>566.14075624926113</v>
      </c>
      <c r="D26" s="113">
        <f>433408724817.278/(10^9)</f>
        <v>433.40872481727803</v>
      </c>
      <c r="E26" s="113">
        <f>6769288118/(10^9)</f>
        <v>6.7692881180000004</v>
      </c>
      <c r="F26" s="113">
        <f>6601088859/(10^9)</f>
        <v>6.6010888589999999</v>
      </c>
      <c r="G26" s="113">
        <f>7656958749.98311/(10^9)</f>
        <v>7.6569587499831107</v>
      </c>
      <c r="H26" s="113">
        <f>3705855920/(10^9)</f>
        <v>3.7058559199999999</v>
      </c>
      <c r="I26" s="113">
        <f>0/(10^9)</f>
        <v>0</v>
      </c>
      <c r="J26" s="113">
        <f>0/(10^9)</f>
        <v>0</v>
      </c>
      <c r="K26" s="113">
        <f>0/(10^9)</f>
        <v>0</v>
      </c>
      <c r="L26" s="113">
        <f>20069015000/(10^9)</f>
        <v>20.069015</v>
      </c>
      <c r="M26" s="113">
        <f>4431417725/(10^9)</f>
        <v>4.4314177250000002</v>
      </c>
      <c r="N26" s="113">
        <f>0/(10^9)</f>
        <v>0</v>
      </c>
      <c r="O26" s="113">
        <f>14730732206/(10^9)</f>
        <v>14.730732206000001</v>
      </c>
      <c r="P26" s="113">
        <f>45893000/(10^9)</f>
        <v>4.5893000000000003E-2</v>
      </c>
      <c r="Q26" s="113">
        <f>0/(10^9)</f>
        <v>0</v>
      </c>
      <c r="R26" s="113">
        <f>68721781854/(10^9)</f>
        <v>68.721781854</v>
      </c>
      <c r="S26" s="119"/>
      <c r="AA26" s="105">
        <f t="shared" si="7"/>
        <v>566.14075624926113</v>
      </c>
      <c r="AB26" s="105">
        <f t="shared" si="8"/>
        <v>0</v>
      </c>
    </row>
    <row r="27" spans="1:28" s="120" customFormat="1" ht="23.25" customHeight="1" x14ac:dyDescent="0.25">
      <c r="A27" s="100">
        <v>14</v>
      </c>
      <c r="B27" s="117" t="s">
        <v>44</v>
      </c>
      <c r="C27" s="112">
        <f t="shared" si="9"/>
        <v>627.68871201156423</v>
      </c>
      <c r="D27" s="113">
        <f>425835378480.76/(10^9)</f>
        <v>425.83537848076003</v>
      </c>
      <c r="E27" s="113">
        <f>6170689075/(10^9)</f>
        <v>6.1706890750000003</v>
      </c>
      <c r="F27" s="113">
        <f>17581902070/(10^9)</f>
        <v>17.581902070000002</v>
      </c>
      <c r="G27" s="113">
        <f>3014632000/(10^9)</f>
        <v>3.0146320000000002</v>
      </c>
      <c r="H27" s="113">
        <f>7000407188/(10^9)</f>
        <v>7.0004071879999996</v>
      </c>
      <c r="I27" s="113">
        <f>0/(10^9)</f>
        <v>0</v>
      </c>
      <c r="J27" s="113">
        <f>273416937.804167/(10^9)</f>
        <v>0.27341693780416698</v>
      </c>
      <c r="K27" s="113">
        <f>164962056093/(10^9)</f>
        <v>164.962056093</v>
      </c>
      <c r="L27" s="113">
        <f>893000000/(10^9)</f>
        <v>0.89300000000000002</v>
      </c>
      <c r="M27" s="113">
        <f>1102057963/(10^9)</f>
        <v>1.102057963</v>
      </c>
      <c r="N27" s="113">
        <f>0/(10^9)</f>
        <v>0</v>
      </c>
      <c r="O27" s="113">
        <f>0/(10^9)</f>
        <v>0</v>
      </c>
      <c r="P27" s="113">
        <f>0/(10^9)</f>
        <v>0</v>
      </c>
      <c r="Q27" s="113">
        <f>0/(10^9)</f>
        <v>0</v>
      </c>
      <c r="R27" s="113">
        <f>855172204/(10^9)</f>
        <v>0.85517220400000005</v>
      </c>
      <c r="S27" s="119"/>
      <c r="AA27" s="105">
        <f t="shared" si="7"/>
        <v>627.68871201156423</v>
      </c>
      <c r="AB27" s="105">
        <f t="shared" si="8"/>
        <v>0</v>
      </c>
    </row>
    <row r="28" spans="1:28" s="120" customFormat="1" ht="23.25" customHeight="1" x14ac:dyDescent="0.25">
      <c r="A28" s="100">
        <v>15</v>
      </c>
      <c r="B28" s="117" t="s">
        <v>45</v>
      </c>
      <c r="C28" s="112">
        <f t="shared" si="9"/>
        <v>11701.468101331</v>
      </c>
      <c r="D28" s="113">
        <f>(5814711.823778*(10^6))/(10^9)</f>
        <v>5814.7118237779996</v>
      </c>
      <c r="E28" s="113">
        <f>(54237.966589*(10^6))/(10^9)</f>
        <v>54.237966589000003</v>
      </c>
      <c r="F28" s="113">
        <f>(74380.025372*(10^6))/(10^9)</f>
        <v>74.380025372000006</v>
      </c>
      <c r="G28" s="113">
        <f>(128357.446474*(10^6))/(10^9)</f>
        <v>128.357446474</v>
      </c>
      <c r="H28" s="113">
        <f>(16397.048677*(10^6))/(10^9)</f>
        <v>16.397048676999997</v>
      </c>
      <c r="I28" s="113">
        <f>(0*(10^6))/(10^9)</f>
        <v>0</v>
      </c>
      <c r="J28" s="113">
        <f>(6889.202019*(10^6))/(10^9)</f>
        <v>6.8892020189999998</v>
      </c>
      <c r="K28" s="113">
        <f>(3498624.327828*(10^6))/(10^9)</f>
        <v>3498.6243278279999</v>
      </c>
      <c r="L28" s="113">
        <f>(50845.084955*(10^6))/(10^9)</f>
        <v>50.845084954999997</v>
      </c>
      <c r="M28" s="113">
        <f>(61818.852986*(10^6))/(10^9)</f>
        <v>61.818852986000003</v>
      </c>
      <c r="N28" s="113">
        <f>(156630.698232*(10^6))/(10^9)</f>
        <v>156.63069823199999</v>
      </c>
      <c r="O28" s="113">
        <f>(257.219*(10^6))/(10^9)</f>
        <v>0.25721899999999998</v>
      </c>
      <c r="P28" s="113">
        <f>(0*(10^6))/(10^9)</f>
        <v>0</v>
      </c>
      <c r="Q28" s="113">
        <f>(79344.613402*(10^6))/(10^9)</f>
        <v>79.344613401999993</v>
      </c>
      <c r="R28" s="113">
        <f>(1758973.792019*(10^6))/(10^9)</f>
        <v>1758.973792019</v>
      </c>
      <c r="S28" s="119"/>
      <c r="AA28" s="105">
        <f t="shared" si="7"/>
        <v>11701.468101331</v>
      </c>
      <c r="AB28" s="105">
        <f t="shared" si="8"/>
        <v>0</v>
      </c>
    </row>
    <row r="29" spans="1:28" s="120" customFormat="1" ht="23.25" customHeight="1" x14ac:dyDescent="0.25">
      <c r="A29" s="100">
        <v>16</v>
      </c>
      <c r="B29" s="117" t="s">
        <v>46</v>
      </c>
      <c r="C29" s="112">
        <f t="shared" si="9"/>
        <v>608.10624630846041</v>
      </c>
      <c r="D29" s="113">
        <f>413448942614.783/(10^9)</f>
        <v>413.44894261478299</v>
      </c>
      <c r="E29" s="113">
        <f>55343012979/(10^9)</f>
        <v>55.343012979000001</v>
      </c>
      <c r="F29" s="113">
        <f>19520517809/(10^9)</f>
        <v>19.520517809000001</v>
      </c>
      <c r="G29" s="113">
        <f>13925284324/(10^9)</f>
        <v>13.925284324</v>
      </c>
      <c r="H29" s="113">
        <f>31577389561/(10^9)</f>
        <v>31.577389561</v>
      </c>
      <c r="I29" s="113">
        <f>0/(10^9)</f>
        <v>0</v>
      </c>
      <c r="J29" s="113">
        <f>0/(10^9)</f>
        <v>0</v>
      </c>
      <c r="K29" s="113">
        <f>23499781521/(10^9)</f>
        <v>23.499781520999999</v>
      </c>
      <c r="L29" s="113">
        <f>0/(10^9)</f>
        <v>0</v>
      </c>
      <c r="M29" s="113">
        <f>9769673649.67729/(10^9)</f>
        <v>9.7696736496772907</v>
      </c>
      <c r="N29" s="113">
        <f>5479517371/(10^9)</f>
        <v>5.479517371</v>
      </c>
      <c r="O29" s="113">
        <f>434722729/(10^9)</f>
        <v>0.43472272899999997</v>
      </c>
      <c r="P29" s="113">
        <f t="shared" ref="P29:Q31" si="13">0/(10^9)</f>
        <v>0</v>
      </c>
      <c r="Q29" s="113">
        <f t="shared" si="13"/>
        <v>0</v>
      </c>
      <c r="R29" s="113">
        <f>35107403750/(10^9)</f>
        <v>35.107403750000003</v>
      </c>
      <c r="S29" s="119"/>
      <c r="AA29" s="105">
        <f t="shared" si="7"/>
        <v>608.10624630846041</v>
      </c>
      <c r="AB29" s="105">
        <f t="shared" si="8"/>
        <v>0</v>
      </c>
    </row>
    <row r="30" spans="1:28" s="120" customFormat="1" ht="23.25" customHeight="1" x14ac:dyDescent="0.25">
      <c r="A30" s="100">
        <v>17</v>
      </c>
      <c r="B30" s="117" t="s">
        <v>47</v>
      </c>
      <c r="C30" s="112">
        <f t="shared" si="9"/>
        <v>692.75042437552156</v>
      </c>
      <c r="D30" s="113">
        <f>48608108064.6/(10^9)</f>
        <v>48.608108064599996</v>
      </c>
      <c r="E30" s="113">
        <f>1308556296/(10^9)</f>
        <v>1.3085562959999999</v>
      </c>
      <c r="F30" s="113">
        <f>6838435930/(10^9)</f>
        <v>6.8384359300000002</v>
      </c>
      <c r="G30" s="113">
        <f>119394207428/(10^9)</f>
        <v>119.394207428</v>
      </c>
      <c r="H30" s="113">
        <f>12616273374.2/(10^9)</f>
        <v>12.6162733742</v>
      </c>
      <c r="I30" s="113">
        <f t="shared" ref="I30:I35" si="14">0/(10^9)</f>
        <v>0</v>
      </c>
      <c r="J30" s="113">
        <f>944510448/(10^9)</f>
        <v>0.94451044799999995</v>
      </c>
      <c r="K30" s="113">
        <f>4520121097/(10^9)</f>
        <v>4.5201210969999996</v>
      </c>
      <c r="L30" s="113">
        <f>0/(10^9)</f>
        <v>0</v>
      </c>
      <c r="M30" s="113">
        <f>21423273015/(10^9)</f>
        <v>21.423273014999999</v>
      </c>
      <c r="N30" s="113">
        <f>10406778337.3215/(10^9)</f>
        <v>10.406778337321501</v>
      </c>
      <c r="O30" s="113">
        <f>0/(10^9)</f>
        <v>0</v>
      </c>
      <c r="P30" s="113">
        <f t="shared" si="13"/>
        <v>0</v>
      </c>
      <c r="Q30" s="113">
        <f t="shared" si="13"/>
        <v>0</v>
      </c>
      <c r="R30" s="113">
        <f>466690160385.4/(10^9)</f>
        <v>466.69016038540002</v>
      </c>
      <c r="S30" s="121"/>
      <c r="AA30" s="105">
        <f t="shared" si="7"/>
        <v>692.75042437552156</v>
      </c>
      <c r="AB30" s="105">
        <f t="shared" si="8"/>
        <v>0</v>
      </c>
    </row>
    <row r="31" spans="1:28" s="120" customFormat="1" ht="23.25" customHeight="1" x14ac:dyDescent="0.25">
      <c r="A31" s="100">
        <v>18</v>
      </c>
      <c r="B31" s="117" t="s">
        <v>48</v>
      </c>
      <c r="C31" s="112">
        <f t="shared" si="9"/>
        <v>1966.3578944860001</v>
      </c>
      <c r="D31" s="113">
        <f>1060657200000/(10^9)</f>
        <v>1060.6572000000001</v>
      </c>
      <c r="E31" s="113">
        <f>61289000000/(10^9)</f>
        <v>61.289000000000001</v>
      </c>
      <c r="F31" s="113">
        <f>19648000000/(10^9)</f>
        <v>19.648</v>
      </c>
      <c r="G31" s="113">
        <f>67309694000/(10^9)</f>
        <v>67.309693999999993</v>
      </c>
      <c r="H31" s="113">
        <f>7777000000/(10^9)</f>
        <v>7.7770000000000001</v>
      </c>
      <c r="I31" s="113">
        <f t="shared" si="14"/>
        <v>0</v>
      </c>
      <c r="J31" s="113">
        <f>0/(10^9)</f>
        <v>0</v>
      </c>
      <c r="K31" s="113">
        <f>280460000000/(10^9)</f>
        <v>280.45999999999998</v>
      </c>
      <c r="L31" s="113">
        <f>437000000/(10^9)</f>
        <v>0.437</v>
      </c>
      <c r="M31" s="113">
        <f>4808000000/(10^9)</f>
        <v>4.8079999999999998</v>
      </c>
      <c r="N31" s="113">
        <f>3204000000/(10^9)</f>
        <v>3.2040000000000002</v>
      </c>
      <c r="O31" s="113">
        <f>38688000000/(10^9)</f>
        <v>38.688000000000002</v>
      </c>
      <c r="P31" s="113">
        <f t="shared" si="13"/>
        <v>0</v>
      </c>
      <c r="Q31" s="113">
        <f t="shared" si="13"/>
        <v>0</v>
      </c>
      <c r="R31" s="113">
        <f>422080000486/(10^9)</f>
        <v>422.08000048600002</v>
      </c>
      <c r="S31" s="119"/>
      <c r="AA31" s="105">
        <f t="shared" si="7"/>
        <v>1966.3578944860001</v>
      </c>
      <c r="AB31" s="105">
        <f t="shared" si="8"/>
        <v>0</v>
      </c>
    </row>
    <row r="32" spans="1:28" s="120" customFormat="1" ht="23.25" customHeight="1" x14ac:dyDescent="0.25">
      <c r="A32" s="100">
        <v>19</v>
      </c>
      <c r="B32" s="117" t="s">
        <v>49</v>
      </c>
      <c r="C32" s="112">
        <f t="shared" si="9"/>
        <v>1075.9128347470003</v>
      </c>
      <c r="D32" s="113">
        <f>503301790725/(10^9)</f>
        <v>503.30179072499999</v>
      </c>
      <c r="E32" s="113">
        <f>74623114624/(10^9)</f>
        <v>74.623114623999996</v>
      </c>
      <c r="F32" s="113">
        <f>15296887038/(10^9)</f>
        <v>15.296887037999999</v>
      </c>
      <c r="G32" s="113">
        <f>32705088289/(10^9)</f>
        <v>32.705088289000003</v>
      </c>
      <c r="H32" s="113">
        <f>3983627828/(10^9)</f>
        <v>3.9836278279999999</v>
      </c>
      <c r="I32" s="113">
        <f t="shared" si="14"/>
        <v>0</v>
      </c>
      <c r="J32" s="113">
        <f>5636592873/(10^9)</f>
        <v>5.6365928729999997</v>
      </c>
      <c r="K32" s="113">
        <f>74742791223/(10^9)</f>
        <v>74.742791222999998</v>
      </c>
      <c r="L32" s="113">
        <f>76215789080/(10^9)</f>
        <v>76.215789079999993</v>
      </c>
      <c r="M32" s="113">
        <f>3478342000/(10^9)</f>
        <v>3.478342</v>
      </c>
      <c r="N32" s="113">
        <f>282785564010/(10^9)</f>
        <v>282.78556400999997</v>
      </c>
      <c r="O32" s="113">
        <f>53614000/(10^9)</f>
        <v>5.3614000000000002E-2</v>
      </c>
      <c r="P32" s="113">
        <f>0/(10^9)</f>
        <v>0</v>
      </c>
      <c r="Q32" s="113">
        <f>799200/(10^9)</f>
        <v>7.9920000000000002E-4</v>
      </c>
      <c r="R32" s="113">
        <f>3088833857/(10^9)</f>
        <v>3.088833857</v>
      </c>
      <c r="S32" s="121"/>
      <c r="T32" s="122"/>
      <c r="U32" s="122"/>
      <c r="V32" s="122"/>
      <c r="AA32" s="105">
        <f t="shared" si="7"/>
        <v>1075.9128347470003</v>
      </c>
      <c r="AB32" s="105">
        <f t="shared" si="8"/>
        <v>0</v>
      </c>
    </row>
    <row r="33" spans="1:28" s="120" customFormat="1" ht="23.25" customHeight="1" x14ac:dyDescent="0.25">
      <c r="A33" s="100">
        <v>20</v>
      </c>
      <c r="B33" s="117" t="s">
        <v>50</v>
      </c>
      <c r="C33" s="112">
        <f t="shared" si="9"/>
        <v>2045.4428144196399</v>
      </c>
      <c r="D33" s="113">
        <f>1002702260021.64/(10^9)</f>
        <v>1002.70226002164</v>
      </c>
      <c r="E33" s="113">
        <f>37638332996/(10^9)</f>
        <v>37.638332996000003</v>
      </c>
      <c r="F33" s="113">
        <f>225364937149/(10^9)</f>
        <v>225.36493714900001</v>
      </c>
      <c r="G33" s="113">
        <f>11428072744/(10^9)</f>
        <v>11.428072744</v>
      </c>
      <c r="H33" s="113">
        <f>65893388622.9999/(10^9)</f>
        <v>65.893388622999908</v>
      </c>
      <c r="I33" s="113">
        <f t="shared" si="14"/>
        <v>0</v>
      </c>
      <c r="J33" s="113">
        <f>0/(10^9)</f>
        <v>0</v>
      </c>
      <c r="K33" s="113">
        <f>165761760338/(10^9)</f>
        <v>165.76176033799999</v>
      </c>
      <c r="L33" s="113">
        <f>0/(10^9)</f>
        <v>0</v>
      </c>
      <c r="M33" s="113">
        <f>7551155874/(10^9)</f>
        <v>7.551155874</v>
      </c>
      <c r="N33" s="113">
        <f>29277000/(10^9)</f>
        <v>2.9277000000000001E-2</v>
      </c>
      <c r="O33" s="113">
        <f>0/(10^9)</f>
        <v>0</v>
      </c>
      <c r="P33" s="113">
        <f>0/(10^9)</f>
        <v>0</v>
      </c>
      <c r="Q33" s="113">
        <f>26365000000/(10^9)</f>
        <v>26.364999999999998</v>
      </c>
      <c r="R33" s="113">
        <f>502708629674/(10^9)</f>
        <v>502.70862967400001</v>
      </c>
      <c r="S33" s="121"/>
      <c r="T33" s="122">
        <v>206651427323</v>
      </c>
      <c r="AA33" s="105">
        <f t="shared" si="7"/>
        <v>2045.4428144196399</v>
      </c>
      <c r="AB33" s="105">
        <f t="shared" si="8"/>
        <v>0</v>
      </c>
    </row>
    <row r="34" spans="1:28" s="120" customFormat="1" ht="23.25" customHeight="1" x14ac:dyDescent="0.25">
      <c r="A34" s="100">
        <v>21</v>
      </c>
      <c r="B34" s="117" t="s">
        <v>51</v>
      </c>
      <c r="C34" s="112">
        <f t="shared" si="9"/>
        <v>1176.903177872</v>
      </c>
      <c r="D34" s="113">
        <f>577415908327/(10^9)</f>
        <v>577.41590832700001</v>
      </c>
      <c r="E34" s="113">
        <f>3918570307/(10^9)</f>
        <v>3.918570307</v>
      </c>
      <c r="F34" s="113">
        <f>16365363840/(10^9)</f>
        <v>16.365363840000001</v>
      </c>
      <c r="G34" s="113">
        <f>27551178018/(10^9)</f>
        <v>27.551178018000002</v>
      </c>
      <c r="H34" s="113">
        <f>27432287352/(10^9)</f>
        <v>27.432287351999999</v>
      </c>
      <c r="I34" s="113">
        <f t="shared" si="14"/>
        <v>0</v>
      </c>
      <c r="J34" s="113">
        <f>3921751342/(10^9)</f>
        <v>3.9217513419999999</v>
      </c>
      <c r="K34" s="113">
        <f>220807386000/(10^9)</f>
        <v>220.80738600000001</v>
      </c>
      <c r="L34" s="113">
        <f>0/(10^9)</f>
        <v>0</v>
      </c>
      <c r="M34" s="113">
        <f>3046264856/(10^9)</f>
        <v>3.0462648560000001</v>
      </c>
      <c r="N34" s="113">
        <f>7625480144/(10^9)</f>
        <v>7.625480144</v>
      </c>
      <c r="O34" s="113">
        <f>37036277034/(10^9)</f>
        <v>37.036277034000001</v>
      </c>
      <c r="P34" s="113">
        <f>0/(10^9)</f>
        <v>0</v>
      </c>
      <c r="Q34" s="113">
        <f>0/(10^9)</f>
        <v>0</v>
      </c>
      <c r="R34" s="113">
        <f>251782710652/(10^9)</f>
        <v>251.78271065199999</v>
      </c>
      <c r="S34" s="119"/>
      <c r="AA34" s="105">
        <f t="shared" si="7"/>
        <v>1176.903177872</v>
      </c>
      <c r="AB34" s="105">
        <f t="shared" si="8"/>
        <v>0</v>
      </c>
    </row>
    <row r="35" spans="1:28" s="120" customFormat="1" ht="23.25" customHeight="1" x14ac:dyDescent="0.25">
      <c r="A35" s="100">
        <v>22</v>
      </c>
      <c r="B35" s="117" t="s">
        <v>52</v>
      </c>
      <c r="C35" s="112">
        <f t="shared" si="9"/>
        <v>1046.446871375</v>
      </c>
      <c r="D35" s="113">
        <f>319184694098/(10^9)</f>
        <v>319.18469409800002</v>
      </c>
      <c r="E35" s="113">
        <f>4907926114/(10^9)</f>
        <v>4.9079261140000003</v>
      </c>
      <c r="F35" s="113">
        <f>7538152166/(10^9)</f>
        <v>7.5381521659999997</v>
      </c>
      <c r="G35" s="113">
        <f>15013982648/(10^9)</f>
        <v>15.013982648000001</v>
      </c>
      <c r="H35" s="113">
        <f>88859993818/(10^9)</f>
        <v>88.859993818000007</v>
      </c>
      <c r="I35" s="113">
        <f t="shared" si="14"/>
        <v>0</v>
      </c>
      <c r="J35" s="113">
        <f>0/(10^9)</f>
        <v>0</v>
      </c>
      <c r="K35" s="113">
        <f>0/(10^9)</f>
        <v>0</v>
      </c>
      <c r="L35" s="113">
        <f>0/(10^9)</f>
        <v>0</v>
      </c>
      <c r="M35" s="113">
        <f>9737201770/(10^9)</f>
        <v>9.7372017700000004</v>
      </c>
      <c r="N35" s="113">
        <f>231941149668/(10^9)</f>
        <v>231.94114966800001</v>
      </c>
      <c r="O35" s="113">
        <f>0/(10^9)</f>
        <v>0</v>
      </c>
      <c r="P35" s="113">
        <f>0/(10^9)</f>
        <v>0</v>
      </c>
      <c r="Q35" s="113">
        <f>0/(10^9)</f>
        <v>0</v>
      </c>
      <c r="R35" s="113">
        <f>369263771093/(10^9)</f>
        <v>369.263771093</v>
      </c>
      <c r="S35" s="119"/>
      <c r="AA35" s="105">
        <f t="shared" si="7"/>
        <v>1046.446871375</v>
      </c>
      <c r="AB35" s="105">
        <f t="shared" si="8"/>
        <v>0</v>
      </c>
    </row>
    <row r="36" spans="1:28" s="120" customFormat="1" ht="23.25" customHeight="1" x14ac:dyDescent="0.25">
      <c r="A36" s="100">
        <v>23</v>
      </c>
      <c r="B36" s="117" t="s">
        <v>53</v>
      </c>
      <c r="C36" s="112">
        <f t="shared" si="9"/>
        <v>1493.1422989654561</v>
      </c>
      <c r="D36" s="113">
        <f>1247332378591.02/(10^9)</f>
        <v>1247.33237859102</v>
      </c>
      <c r="E36" s="113">
        <f>288949000/(10^9)</f>
        <v>0.28894900000000001</v>
      </c>
      <c r="F36" s="113">
        <f>21130122231.3455/(10^9)</f>
        <v>21.130122231345499</v>
      </c>
      <c r="G36" s="113">
        <f>32537218822.5526/(10^9)</f>
        <v>32.537218822552603</v>
      </c>
      <c r="H36" s="113">
        <f>43362607974.7442/(10^9)</f>
        <v>43.362607974744201</v>
      </c>
      <c r="I36" s="113">
        <f>7797818/(10^9)</f>
        <v>7.7978179999999998E-3</v>
      </c>
      <c r="J36" s="113">
        <f>5312682990/(10^9)</f>
        <v>5.3126829899999999</v>
      </c>
      <c r="K36" s="113">
        <f>27079047232/(10^9)</f>
        <v>27.079047232000001</v>
      </c>
      <c r="L36" s="113">
        <f>25392773709/(10^9)</f>
        <v>25.392773709</v>
      </c>
      <c r="M36" s="113">
        <f>7907594582.79391/(10^9)</f>
        <v>7.9075945827939096</v>
      </c>
      <c r="N36" s="113">
        <f>666688000/(10^9)</f>
        <v>0.66668799999999995</v>
      </c>
      <c r="O36" s="113">
        <f>740057496/(10^9)</f>
        <v>0.74005749600000004</v>
      </c>
      <c r="P36" s="113">
        <f>0/(10^9)</f>
        <v>0</v>
      </c>
      <c r="Q36" s="113">
        <f>0/(10^9)</f>
        <v>0</v>
      </c>
      <c r="R36" s="113">
        <f>81384380518/(10^9)</f>
        <v>81.384380518</v>
      </c>
      <c r="S36" s="119"/>
      <c r="AA36" s="105">
        <f t="shared" si="7"/>
        <v>1493.1422989654561</v>
      </c>
      <c r="AB36" s="105">
        <f t="shared" si="8"/>
        <v>0</v>
      </c>
    </row>
  </sheetData>
  <mergeCells count="11">
    <mergeCell ref="S8:S9"/>
    <mergeCell ref="J1:S1"/>
    <mergeCell ref="A3:S3"/>
    <mergeCell ref="A4:S4"/>
    <mergeCell ref="A8:A9"/>
    <mergeCell ref="B8:B9"/>
    <mergeCell ref="C8:C9"/>
    <mergeCell ref="D8:H8"/>
    <mergeCell ref="I8:J8"/>
    <mergeCell ref="K8:O8"/>
    <mergeCell ref="P8:R8"/>
  </mergeCells>
  <pageMargins left="0.4" right="0.37" top="0.75" bottom="0.75" header="0.3" footer="0.3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C8C02-4E01-4A14-B2D6-6F9509B73778}">
  <dimension ref="A1:AA37"/>
  <sheetViews>
    <sheetView zoomScale="70" zoomScaleNormal="70" workbookViewId="0">
      <selection activeCell="G39" sqref="G39:G40"/>
    </sheetView>
  </sheetViews>
  <sheetFormatPr defaultColWidth="9" defaultRowHeight="12" x14ac:dyDescent="0.2"/>
  <cols>
    <col min="1" max="1" width="3.85546875" style="9" bestFit="1" customWidth="1"/>
    <col min="2" max="2" width="19.7109375" style="10" bestFit="1" customWidth="1"/>
    <col min="3" max="3" width="16.7109375" style="10" bestFit="1" customWidth="1"/>
    <col min="4" max="4" width="16.7109375" style="2" bestFit="1" customWidth="1"/>
    <col min="5" max="7" width="15.7109375" style="2" bestFit="1" customWidth="1"/>
    <col min="8" max="8" width="14.42578125" style="2" bestFit="1" customWidth="1"/>
    <col min="9" max="9" width="13.28515625" style="2" bestFit="1" customWidth="1"/>
    <col min="10" max="10" width="14.42578125" style="2" bestFit="1" customWidth="1"/>
    <col min="11" max="11" width="15.7109375" style="2" bestFit="1" customWidth="1"/>
    <col min="12" max="12" width="14.42578125" style="2" bestFit="1" customWidth="1"/>
    <col min="13" max="15" width="15.7109375" style="2" bestFit="1" customWidth="1"/>
    <col min="16" max="16" width="13.28515625" style="2" bestFit="1" customWidth="1"/>
    <col min="17" max="17" width="14.42578125" style="2" bestFit="1" customWidth="1"/>
    <col min="18" max="18" width="15.7109375" style="2" bestFit="1" customWidth="1"/>
    <col min="19" max="19" width="5.85546875" style="2" customWidth="1"/>
    <col min="20" max="20" width="14.42578125" style="2" hidden="1" customWidth="1"/>
    <col min="21" max="21" width="5" style="2" hidden="1" customWidth="1"/>
    <col min="22" max="26" width="0" style="2" hidden="1" customWidth="1"/>
    <col min="27" max="256" width="9" style="2"/>
    <col min="257" max="257" width="5" style="2" bestFit="1" customWidth="1"/>
    <col min="258" max="258" width="22.85546875" style="2" customWidth="1"/>
    <col min="259" max="259" width="15.42578125" style="2" customWidth="1"/>
    <col min="260" max="260" width="14.5703125" style="2" customWidth="1"/>
    <col min="261" max="261" width="11.28515625" style="2" customWidth="1"/>
    <col min="262" max="262" width="5.85546875" style="2" customWidth="1"/>
    <col min="263" max="263" width="11.85546875" style="2" bestFit="1" customWidth="1"/>
    <col min="264" max="264" width="10.42578125" style="2" customWidth="1"/>
    <col min="265" max="265" width="5.5703125" style="2" customWidth="1"/>
    <col min="266" max="266" width="7.5703125" style="2" customWidth="1"/>
    <col min="267" max="267" width="13.140625" style="2" bestFit="1" customWidth="1"/>
    <col min="268" max="269" width="7" style="2" customWidth="1"/>
    <col min="270" max="270" width="11.140625" style="2" customWidth="1"/>
    <col min="271" max="271" width="12.5703125" style="2" bestFit="1" customWidth="1"/>
    <col min="272" max="272" width="10.42578125" style="2" customWidth="1"/>
    <col min="273" max="273" width="7.42578125" style="2" customWidth="1"/>
    <col min="274" max="274" width="15.85546875" style="2" bestFit="1" customWidth="1"/>
    <col min="275" max="275" width="5.85546875" style="2" customWidth="1"/>
    <col min="276" max="282" width="0" style="2" hidden="1" customWidth="1"/>
    <col min="283" max="512" width="9" style="2"/>
    <col min="513" max="513" width="5" style="2" bestFit="1" customWidth="1"/>
    <col min="514" max="514" width="22.85546875" style="2" customWidth="1"/>
    <col min="515" max="515" width="15.42578125" style="2" customWidth="1"/>
    <col min="516" max="516" width="14.5703125" style="2" customWidth="1"/>
    <col min="517" max="517" width="11.28515625" style="2" customWidth="1"/>
    <col min="518" max="518" width="5.85546875" style="2" customWidth="1"/>
    <col min="519" max="519" width="11.85546875" style="2" bestFit="1" customWidth="1"/>
    <col min="520" max="520" width="10.42578125" style="2" customWidth="1"/>
    <col min="521" max="521" width="5.5703125" style="2" customWidth="1"/>
    <col min="522" max="522" width="7.5703125" style="2" customWidth="1"/>
    <col min="523" max="523" width="13.140625" style="2" bestFit="1" customWidth="1"/>
    <col min="524" max="525" width="7" style="2" customWidth="1"/>
    <col min="526" max="526" width="11.140625" style="2" customWidth="1"/>
    <col min="527" max="527" width="12.5703125" style="2" bestFit="1" customWidth="1"/>
    <col min="528" max="528" width="10.42578125" style="2" customWidth="1"/>
    <col min="529" max="529" width="7.42578125" style="2" customWidth="1"/>
    <col min="530" max="530" width="15.85546875" style="2" bestFit="1" customWidth="1"/>
    <col min="531" max="531" width="5.85546875" style="2" customWidth="1"/>
    <col min="532" max="538" width="0" style="2" hidden="1" customWidth="1"/>
    <col min="539" max="768" width="9" style="2"/>
    <col min="769" max="769" width="5" style="2" bestFit="1" customWidth="1"/>
    <col min="770" max="770" width="22.85546875" style="2" customWidth="1"/>
    <col min="771" max="771" width="15.42578125" style="2" customWidth="1"/>
    <col min="772" max="772" width="14.5703125" style="2" customWidth="1"/>
    <col min="773" max="773" width="11.28515625" style="2" customWidth="1"/>
    <col min="774" max="774" width="5.85546875" style="2" customWidth="1"/>
    <col min="775" max="775" width="11.85546875" style="2" bestFit="1" customWidth="1"/>
    <col min="776" max="776" width="10.42578125" style="2" customWidth="1"/>
    <col min="777" max="777" width="5.5703125" style="2" customWidth="1"/>
    <col min="778" max="778" width="7.5703125" style="2" customWidth="1"/>
    <col min="779" max="779" width="13.140625" style="2" bestFit="1" customWidth="1"/>
    <col min="780" max="781" width="7" style="2" customWidth="1"/>
    <col min="782" max="782" width="11.140625" style="2" customWidth="1"/>
    <col min="783" max="783" width="12.5703125" style="2" bestFit="1" customWidth="1"/>
    <col min="784" max="784" width="10.42578125" style="2" customWidth="1"/>
    <col min="785" max="785" width="7.42578125" style="2" customWidth="1"/>
    <col min="786" max="786" width="15.85546875" style="2" bestFit="1" customWidth="1"/>
    <col min="787" max="787" width="5.85546875" style="2" customWidth="1"/>
    <col min="788" max="794" width="0" style="2" hidden="1" customWidth="1"/>
    <col min="795" max="1024" width="9" style="2"/>
    <col min="1025" max="1025" width="5" style="2" bestFit="1" customWidth="1"/>
    <col min="1026" max="1026" width="22.85546875" style="2" customWidth="1"/>
    <col min="1027" max="1027" width="15.42578125" style="2" customWidth="1"/>
    <col min="1028" max="1028" width="14.5703125" style="2" customWidth="1"/>
    <col min="1029" max="1029" width="11.28515625" style="2" customWidth="1"/>
    <col min="1030" max="1030" width="5.85546875" style="2" customWidth="1"/>
    <col min="1031" max="1031" width="11.85546875" style="2" bestFit="1" customWidth="1"/>
    <col min="1032" max="1032" width="10.42578125" style="2" customWidth="1"/>
    <col min="1033" max="1033" width="5.5703125" style="2" customWidth="1"/>
    <col min="1034" max="1034" width="7.5703125" style="2" customWidth="1"/>
    <col min="1035" max="1035" width="13.140625" style="2" bestFit="1" customWidth="1"/>
    <col min="1036" max="1037" width="7" style="2" customWidth="1"/>
    <col min="1038" max="1038" width="11.140625" style="2" customWidth="1"/>
    <col min="1039" max="1039" width="12.5703125" style="2" bestFit="1" customWidth="1"/>
    <col min="1040" max="1040" width="10.42578125" style="2" customWidth="1"/>
    <col min="1041" max="1041" width="7.42578125" style="2" customWidth="1"/>
    <col min="1042" max="1042" width="15.85546875" style="2" bestFit="1" customWidth="1"/>
    <col min="1043" max="1043" width="5.85546875" style="2" customWidth="1"/>
    <col min="1044" max="1050" width="0" style="2" hidden="1" customWidth="1"/>
    <col min="1051" max="1280" width="9" style="2"/>
    <col min="1281" max="1281" width="5" style="2" bestFit="1" customWidth="1"/>
    <col min="1282" max="1282" width="22.85546875" style="2" customWidth="1"/>
    <col min="1283" max="1283" width="15.42578125" style="2" customWidth="1"/>
    <col min="1284" max="1284" width="14.5703125" style="2" customWidth="1"/>
    <col min="1285" max="1285" width="11.28515625" style="2" customWidth="1"/>
    <col min="1286" max="1286" width="5.85546875" style="2" customWidth="1"/>
    <col min="1287" max="1287" width="11.85546875" style="2" bestFit="1" customWidth="1"/>
    <col min="1288" max="1288" width="10.42578125" style="2" customWidth="1"/>
    <col min="1289" max="1289" width="5.5703125" style="2" customWidth="1"/>
    <col min="1290" max="1290" width="7.5703125" style="2" customWidth="1"/>
    <col min="1291" max="1291" width="13.140625" style="2" bestFit="1" customWidth="1"/>
    <col min="1292" max="1293" width="7" style="2" customWidth="1"/>
    <col min="1294" max="1294" width="11.140625" style="2" customWidth="1"/>
    <col min="1295" max="1295" width="12.5703125" style="2" bestFit="1" customWidth="1"/>
    <col min="1296" max="1296" width="10.42578125" style="2" customWidth="1"/>
    <col min="1297" max="1297" width="7.42578125" style="2" customWidth="1"/>
    <col min="1298" max="1298" width="15.85546875" style="2" bestFit="1" customWidth="1"/>
    <col min="1299" max="1299" width="5.85546875" style="2" customWidth="1"/>
    <col min="1300" max="1306" width="0" style="2" hidden="1" customWidth="1"/>
    <col min="1307" max="1536" width="9" style="2"/>
    <col min="1537" max="1537" width="5" style="2" bestFit="1" customWidth="1"/>
    <col min="1538" max="1538" width="22.85546875" style="2" customWidth="1"/>
    <col min="1539" max="1539" width="15.42578125" style="2" customWidth="1"/>
    <col min="1540" max="1540" width="14.5703125" style="2" customWidth="1"/>
    <col min="1541" max="1541" width="11.28515625" style="2" customWidth="1"/>
    <col min="1542" max="1542" width="5.85546875" style="2" customWidth="1"/>
    <col min="1543" max="1543" width="11.85546875" style="2" bestFit="1" customWidth="1"/>
    <col min="1544" max="1544" width="10.42578125" style="2" customWidth="1"/>
    <col min="1545" max="1545" width="5.5703125" style="2" customWidth="1"/>
    <col min="1546" max="1546" width="7.5703125" style="2" customWidth="1"/>
    <col min="1547" max="1547" width="13.140625" style="2" bestFit="1" customWidth="1"/>
    <col min="1548" max="1549" width="7" style="2" customWidth="1"/>
    <col min="1550" max="1550" width="11.140625" style="2" customWidth="1"/>
    <col min="1551" max="1551" width="12.5703125" style="2" bestFit="1" customWidth="1"/>
    <col min="1552" max="1552" width="10.42578125" style="2" customWidth="1"/>
    <col min="1553" max="1553" width="7.42578125" style="2" customWidth="1"/>
    <col min="1554" max="1554" width="15.85546875" style="2" bestFit="1" customWidth="1"/>
    <col min="1555" max="1555" width="5.85546875" style="2" customWidth="1"/>
    <col min="1556" max="1562" width="0" style="2" hidden="1" customWidth="1"/>
    <col min="1563" max="1792" width="9" style="2"/>
    <col min="1793" max="1793" width="5" style="2" bestFit="1" customWidth="1"/>
    <col min="1794" max="1794" width="22.85546875" style="2" customWidth="1"/>
    <col min="1795" max="1795" width="15.42578125" style="2" customWidth="1"/>
    <col min="1796" max="1796" width="14.5703125" style="2" customWidth="1"/>
    <col min="1797" max="1797" width="11.28515625" style="2" customWidth="1"/>
    <col min="1798" max="1798" width="5.85546875" style="2" customWidth="1"/>
    <col min="1799" max="1799" width="11.85546875" style="2" bestFit="1" customWidth="1"/>
    <col min="1800" max="1800" width="10.42578125" style="2" customWidth="1"/>
    <col min="1801" max="1801" width="5.5703125" style="2" customWidth="1"/>
    <col min="1802" max="1802" width="7.5703125" style="2" customWidth="1"/>
    <col min="1803" max="1803" width="13.140625" style="2" bestFit="1" customWidth="1"/>
    <col min="1804" max="1805" width="7" style="2" customWidth="1"/>
    <col min="1806" max="1806" width="11.140625" style="2" customWidth="1"/>
    <col min="1807" max="1807" width="12.5703125" style="2" bestFit="1" customWidth="1"/>
    <col min="1808" max="1808" width="10.42578125" style="2" customWidth="1"/>
    <col min="1809" max="1809" width="7.42578125" style="2" customWidth="1"/>
    <col min="1810" max="1810" width="15.85546875" style="2" bestFit="1" customWidth="1"/>
    <col min="1811" max="1811" width="5.85546875" style="2" customWidth="1"/>
    <col min="1812" max="1818" width="0" style="2" hidden="1" customWidth="1"/>
    <col min="1819" max="2048" width="9" style="2"/>
    <col min="2049" max="2049" width="5" style="2" bestFit="1" customWidth="1"/>
    <col min="2050" max="2050" width="22.85546875" style="2" customWidth="1"/>
    <col min="2051" max="2051" width="15.42578125" style="2" customWidth="1"/>
    <col min="2052" max="2052" width="14.5703125" style="2" customWidth="1"/>
    <col min="2053" max="2053" width="11.28515625" style="2" customWidth="1"/>
    <col min="2054" max="2054" width="5.85546875" style="2" customWidth="1"/>
    <col min="2055" max="2055" width="11.85546875" style="2" bestFit="1" customWidth="1"/>
    <col min="2056" max="2056" width="10.42578125" style="2" customWidth="1"/>
    <col min="2057" max="2057" width="5.5703125" style="2" customWidth="1"/>
    <col min="2058" max="2058" width="7.5703125" style="2" customWidth="1"/>
    <col min="2059" max="2059" width="13.140625" style="2" bestFit="1" customWidth="1"/>
    <col min="2060" max="2061" width="7" style="2" customWidth="1"/>
    <col min="2062" max="2062" width="11.140625" style="2" customWidth="1"/>
    <col min="2063" max="2063" width="12.5703125" style="2" bestFit="1" customWidth="1"/>
    <col min="2064" max="2064" width="10.42578125" style="2" customWidth="1"/>
    <col min="2065" max="2065" width="7.42578125" style="2" customWidth="1"/>
    <col min="2066" max="2066" width="15.85546875" style="2" bestFit="1" customWidth="1"/>
    <col min="2067" max="2067" width="5.85546875" style="2" customWidth="1"/>
    <col min="2068" max="2074" width="0" style="2" hidden="1" customWidth="1"/>
    <col min="2075" max="2304" width="9" style="2"/>
    <col min="2305" max="2305" width="5" style="2" bestFit="1" customWidth="1"/>
    <col min="2306" max="2306" width="22.85546875" style="2" customWidth="1"/>
    <col min="2307" max="2307" width="15.42578125" style="2" customWidth="1"/>
    <col min="2308" max="2308" width="14.5703125" style="2" customWidth="1"/>
    <col min="2309" max="2309" width="11.28515625" style="2" customWidth="1"/>
    <col min="2310" max="2310" width="5.85546875" style="2" customWidth="1"/>
    <col min="2311" max="2311" width="11.85546875" style="2" bestFit="1" customWidth="1"/>
    <col min="2312" max="2312" width="10.42578125" style="2" customWidth="1"/>
    <col min="2313" max="2313" width="5.5703125" style="2" customWidth="1"/>
    <col min="2314" max="2314" width="7.5703125" style="2" customWidth="1"/>
    <col min="2315" max="2315" width="13.140625" style="2" bestFit="1" customWidth="1"/>
    <col min="2316" max="2317" width="7" style="2" customWidth="1"/>
    <col min="2318" max="2318" width="11.140625" style="2" customWidth="1"/>
    <col min="2319" max="2319" width="12.5703125" style="2" bestFit="1" customWidth="1"/>
    <col min="2320" max="2320" width="10.42578125" style="2" customWidth="1"/>
    <col min="2321" max="2321" width="7.42578125" style="2" customWidth="1"/>
    <col min="2322" max="2322" width="15.85546875" style="2" bestFit="1" customWidth="1"/>
    <col min="2323" max="2323" width="5.85546875" style="2" customWidth="1"/>
    <col min="2324" max="2330" width="0" style="2" hidden="1" customWidth="1"/>
    <col min="2331" max="2560" width="9" style="2"/>
    <col min="2561" max="2561" width="5" style="2" bestFit="1" customWidth="1"/>
    <col min="2562" max="2562" width="22.85546875" style="2" customWidth="1"/>
    <col min="2563" max="2563" width="15.42578125" style="2" customWidth="1"/>
    <col min="2564" max="2564" width="14.5703125" style="2" customWidth="1"/>
    <col min="2565" max="2565" width="11.28515625" style="2" customWidth="1"/>
    <col min="2566" max="2566" width="5.85546875" style="2" customWidth="1"/>
    <col min="2567" max="2567" width="11.85546875" style="2" bestFit="1" customWidth="1"/>
    <col min="2568" max="2568" width="10.42578125" style="2" customWidth="1"/>
    <col min="2569" max="2569" width="5.5703125" style="2" customWidth="1"/>
    <col min="2570" max="2570" width="7.5703125" style="2" customWidth="1"/>
    <col min="2571" max="2571" width="13.140625" style="2" bestFit="1" customWidth="1"/>
    <col min="2572" max="2573" width="7" style="2" customWidth="1"/>
    <col min="2574" max="2574" width="11.140625" style="2" customWidth="1"/>
    <col min="2575" max="2575" width="12.5703125" style="2" bestFit="1" customWidth="1"/>
    <col min="2576" max="2576" width="10.42578125" style="2" customWidth="1"/>
    <col min="2577" max="2577" width="7.42578125" style="2" customWidth="1"/>
    <col min="2578" max="2578" width="15.85546875" style="2" bestFit="1" customWidth="1"/>
    <col min="2579" max="2579" width="5.85546875" style="2" customWidth="1"/>
    <col min="2580" max="2586" width="0" style="2" hidden="1" customWidth="1"/>
    <col min="2587" max="2816" width="9" style="2"/>
    <col min="2817" max="2817" width="5" style="2" bestFit="1" customWidth="1"/>
    <col min="2818" max="2818" width="22.85546875" style="2" customWidth="1"/>
    <col min="2819" max="2819" width="15.42578125" style="2" customWidth="1"/>
    <col min="2820" max="2820" width="14.5703125" style="2" customWidth="1"/>
    <col min="2821" max="2821" width="11.28515625" style="2" customWidth="1"/>
    <col min="2822" max="2822" width="5.85546875" style="2" customWidth="1"/>
    <col min="2823" max="2823" width="11.85546875" style="2" bestFit="1" customWidth="1"/>
    <col min="2824" max="2824" width="10.42578125" style="2" customWidth="1"/>
    <col min="2825" max="2825" width="5.5703125" style="2" customWidth="1"/>
    <col min="2826" max="2826" width="7.5703125" style="2" customWidth="1"/>
    <col min="2827" max="2827" width="13.140625" style="2" bestFit="1" customWidth="1"/>
    <col min="2828" max="2829" width="7" style="2" customWidth="1"/>
    <col min="2830" max="2830" width="11.140625" style="2" customWidth="1"/>
    <col min="2831" max="2831" width="12.5703125" style="2" bestFit="1" customWidth="1"/>
    <col min="2832" max="2832" width="10.42578125" style="2" customWidth="1"/>
    <col min="2833" max="2833" width="7.42578125" style="2" customWidth="1"/>
    <col min="2834" max="2834" width="15.85546875" style="2" bestFit="1" customWidth="1"/>
    <col min="2835" max="2835" width="5.85546875" style="2" customWidth="1"/>
    <col min="2836" max="2842" width="0" style="2" hidden="1" customWidth="1"/>
    <col min="2843" max="3072" width="9" style="2"/>
    <col min="3073" max="3073" width="5" style="2" bestFit="1" customWidth="1"/>
    <col min="3074" max="3074" width="22.85546875" style="2" customWidth="1"/>
    <col min="3075" max="3075" width="15.42578125" style="2" customWidth="1"/>
    <col min="3076" max="3076" width="14.5703125" style="2" customWidth="1"/>
    <col min="3077" max="3077" width="11.28515625" style="2" customWidth="1"/>
    <col min="3078" max="3078" width="5.85546875" style="2" customWidth="1"/>
    <col min="3079" max="3079" width="11.85546875" style="2" bestFit="1" customWidth="1"/>
    <col min="3080" max="3080" width="10.42578125" style="2" customWidth="1"/>
    <col min="3081" max="3081" width="5.5703125" style="2" customWidth="1"/>
    <col min="3082" max="3082" width="7.5703125" style="2" customWidth="1"/>
    <col min="3083" max="3083" width="13.140625" style="2" bestFit="1" customWidth="1"/>
    <col min="3084" max="3085" width="7" style="2" customWidth="1"/>
    <col min="3086" max="3086" width="11.140625" style="2" customWidth="1"/>
    <col min="3087" max="3087" width="12.5703125" style="2" bestFit="1" customWidth="1"/>
    <col min="3088" max="3088" width="10.42578125" style="2" customWidth="1"/>
    <col min="3089" max="3089" width="7.42578125" style="2" customWidth="1"/>
    <col min="3090" max="3090" width="15.85546875" style="2" bestFit="1" customWidth="1"/>
    <col min="3091" max="3091" width="5.85546875" style="2" customWidth="1"/>
    <col min="3092" max="3098" width="0" style="2" hidden="1" customWidth="1"/>
    <col min="3099" max="3328" width="9" style="2"/>
    <col min="3329" max="3329" width="5" style="2" bestFit="1" customWidth="1"/>
    <col min="3330" max="3330" width="22.85546875" style="2" customWidth="1"/>
    <col min="3331" max="3331" width="15.42578125" style="2" customWidth="1"/>
    <col min="3332" max="3332" width="14.5703125" style="2" customWidth="1"/>
    <col min="3333" max="3333" width="11.28515625" style="2" customWidth="1"/>
    <col min="3334" max="3334" width="5.85546875" style="2" customWidth="1"/>
    <col min="3335" max="3335" width="11.85546875" style="2" bestFit="1" customWidth="1"/>
    <col min="3336" max="3336" width="10.42578125" style="2" customWidth="1"/>
    <col min="3337" max="3337" width="5.5703125" style="2" customWidth="1"/>
    <col min="3338" max="3338" width="7.5703125" style="2" customWidth="1"/>
    <col min="3339" max="3339" width="13.140625" style="2" bestFit="1" customWidth="1"/>
    <col min="3340" max="3341" width="7" style="2" customWidth="1"/>
    <col min="3342" max="3342" width="11.140625" style="2" customWidth="1"/>
    <col min="3343" max="3343" width="12.5703125" style="2" bestFit="1" customWidth="1"/>
    <col min="3344" max="3344" width="10.42578125" style="2" customWidth="1"/>
    <col min="3345" max="3345" width="7.42578125" style="2" customWidth="1"/>
    <col min="3346" max="3346" width="15.85546875" style="2" bestFit="1" customWidth="1"/>
    <col min="3347" max="3347" width="5.85546875" style="2" customWidth="1"/>
    <col min="3348" max="3354" width="0" style="2" hidden="1" customWidth="1"/>
    <col min="3355" max="3584" width="9" style="2"/>
    <col min="3585" max="3585" width="5" style="2" bestFit="1" customWidth="1"/>
    <col min="3586" max="3586" width="22.85546875" style="2" customWidth="1"/>
    <col min="3587" max="3587" width="15.42578125" style="2" customWidth="1"/>
    <col min="3588" max="3588" width="14.5703125" style="2" customWidth="1"/>
    <col min="3589" max="3589" width="11.28515625" style="2" customWidth="1"/>
    <col min="3590" max="3590" width="5.85546875" style="2" customWidth="1"/>
    <col min="3591" max="3591" width="11.85546875" style="2" bestFit="1" customWidth="1"/>
    <col min="3592" max="3592" width="10.42578125" style="2" customWidth="1"/>
    <col min="3593" max="3593" width="5.5703125" style="2" customWidth="1"/>
    <col min="3594" max="3594" width="7.5703125" style="2" customWidth="1"/>
    <col min="3595" max="3595" width="13.140625" style="2" bestFit="1" customWidth="1"/>
    <col min="3596" max="3597" width="7" style="2" customWidth="1"/>
    <col min="3598" max="3598" width="11.140625" style="2" customWidth="1"/>
    <col min="3599" max="3599" width="12.5703125" style="2" bestFit="1" customWidth="1"/>
    <col min="3600" max="3600" width="10.42578125" style="2" customWidth="1"/>
    <col min="3601" max="3601" width="7.42578125" style="2" customWidth="1"/>
    <col min="3602" max="3602" width="15.85546875" style="2" bestFit="1" customWidth="1"/>
    <col min="3603" max="3603" width="5.85546875" style="2" customWidth="1"/>
    <col min="3604" max="3610" width="0" style="2" hidden="1" customWidth="1"/>
    <col min="3611" max="3840" width="9" style="2"/>
    <col min="3841" max="3841" width="5" style="2" bestFit="1" customWidth="1"/>
    <col min="3842" max="3842" width="22.85546875" style="2" customWidth="1"/>
    <col min="3843" max="3843" width="15.42578125" style="2" customWidth="1"/>
    <col min="3844" max="3844" width="14.5703125" style="2" customWidth="1"/>
    <col min="3845" max="3845" width="11.28515625" style="2" customWidth="1"/>
    <col min="3846" max="3846" width="5.85546875" style="2" customWidth="1"/>
    <col min="3847" max="3847" width="11.85546875" style="2" bestFit="1" customWidth="1"/>
    <col min="3848" max="3848" width="10.42578125" style="2" customWidth="1"/>
    <col min="3849" max="3849" width="5.5703125" style="2" customWidth="1"/>
    <col min="3850" max="3850" width="7.5703125" style="2" customWidth="1"/>
    <col min="3851" max="3851" width="13.140625" style="2" bestFit="1" customWidth="1"/>
    <col min="3852" max="3853" width="7" style="2" customWidth="1"/>
    <col min="3854" max="3854" width="11.140625" style="2" customWidth="1"/>
    <col min="3855" max="3855" width="12.5703125" style="2" bestFit="1" customWidth="1"/>
    <col min="3856" max="3856" width="10.42578125" style="2" customWidth="1"/>
    <col min="3857" max="3857" width="7.42578125" style="2" customWidth="1"/>
    <col min="3858" max="3858" width="15.85546875" style="2" bestFit="1" customWidth="1"/>
    <col min="3859" max="3859" width="5.85546875" style="2" customWidth="1"/>
    <col min="3860" max="3866" width="0" style="2" hidden="1" customWidth="1"/>
    <col min="3867" max="4096" width="9" style="2"/>
    <col min="4097" max="4097" width="5" style="2" bestFit="1" customWidth="1"/>
    <col min="4098" max="4098" width="22.85546875" style="2" customWidth="1"/>
    <col min="4099" max="4099" width="15.42578125" style="2" customWidth="1"/>
    <col min="4100" max="4100" width="14.5703125" style="2" customWidth="1"/>
    <col min="4101" max="4101" width="11.28515625" style="2" customWidth="1"/>
    <col min="4102" max="4102" width="5.85546875" style="2" customWidth="1"/>
    <col min="4103" max="4103" width="11.85546875" style="2" bestFit="1" customWidth="1"/>
    <col min="4104" max="4104" width="10.42578125" style="2" customWidth="1"/>
    <col min="4105" max="4105" width="5.5703125" style="2" customWidth="1"/>
    <col min="4106" max="4106" width="7.5703125" style="2" customWidth="1"/>
    <col min="4107" max="4107" width="13.140625" style="2" bestFit="1" customWidth="1"/>
    <col min="4108" max="4109" width="7" style="2" customWidth="1"/>
    <col min="4110" max="4110" width="11.140625" style="2" customWidth="1"/>
    <col min="4111" max="4111" width="12.5703125" style="2" bestFit="1" customWidth="1"/>
    <col min="4112" max="4112" width="10.42578125" style="2" customWidth="1"/>
    <col min="4113" max="4113" width="7.42578125" style="2" customWidth="1"/>
    <col min="4114" max="4114" width="15.85546875" style="2" bestFit="1" customWidth="1"/>
    <col min="4115" max="4115" width="5.85546875" style="2" customWidth="1"/>
    <col min="4116" max="4122" width="0" style="2" hidden="1" customWidth="1"/>
    <col min="4123" max="4352" width="9" style="2"/>
    <col min="4353" max="4353" width="5" style="2" bestFit="1" customWidth="1"/>
    <col min="4354" max="4354" width="22.85546875" style="2" customWidth="1"/>
    <col min="4355" max="4355" width="15.42578125" style="2" customWidth="1"/>
    <col min="4356" max="4356" width="14.5703125" style="2" customWidth="1"/>
    <col min="4357" max="4357" width="11.28515625" style="2" customWidth="1"/>
    <col min="4358" max="4358" width="5.85546875" style="2" customWidth="1"/>
    <col min="4359" max="4359" width="11.85546875" style="2" bestFit="1" customWidth="1"/>
    <col min="4360" max="4360" width="10.42578125" style="2" customWidth="1"/>
    <col min="4361" max="4361" width="5.5703125" style="2" customWidth="1"/>
    <col min="4362" max="4362" width="7.5703125" style="2" customWidth="1"/>
    <col min="4363" max="4363" width="13.140625" style="2" bestFit="1" customWidth="1"/>
    <col min="4364" max="4365" width="7" style="2" customWidth="1"/>
    <col min="4366" max="4366" width="11.140625" style="2" customWidth="1"/>
    <col min="4367" max="4367" width="12.5703125" style="2" bestFit="1" customWidth="1"/>
    <col min="4368" max="4368" width="10.42578125" style="2" customWidth="1"/>
    <col min="4369" max="4369" width="7.42578125" style="2" customWidth="1"/>
    <col min="4370" max="4370" width="15.85546875" style="2" bestFit="1" customWidth="1"/>
    <col min="4371" max="4371" width="5.85546875" style="2" customWidth="1"/>
    <col min="4372" max="4378" width="0" style="2" hidden="1" customWidth="1"/>
    <col min="4379" max="4608" width="9" style="2"/>
    <col min="4609" max="4609" width="5" style="2" bestFit="1" customWidth="1"/>
    <col min="4610" max="4610" width="22.85546875" style="2" customWidth="1"/>
    <col min="4611" max="4611" width="15.42578125" style="2" customWidth="1"/>
    <col min="4612" max="4612" width="14.5703125" style="2" customWidth="1"/>
    <col min="4613" max="4613" width="11.28515625" style="2" customWidth="1"/>
    <col min="4614" max="4614" width="5.85546875" style="2" customWidth="1"/>
    <col min="4615" max="4615" width="11.85546875" style="2" bestFit="1" customWidth="1"/>
    <col min="4616" max="4616" width="10.42578125" style="2" customWidth="1"/>
    <col min="4617" max="4617" width="5.5703125" style="2" customWidth="1"/>
    <col min="4618" max="4618" width="7.5703125" style="2" customWidth="1"/>
    <col min="4619" max="4619" width="13.140625" style="2" bestFit="1" customWidth="1"/>
    <col min="4620" max="4621" width="7" style="2" customWidth="1"/>
    <col min="4622" max="4622" width="11.140625" style="2" customWidth="1"/>
    <col min="4623" max="4623" width="12.5703125" style="2" bestFit="1" customWidth="1"/>
    <col min="4624" max="4624" width="10.42578125" style="2" customWidth="1"/>
    <col min="4625" max="4625" width="7.42578125" style="2" customWidth="1"/>
    <col min="4626" max="4626" width="15.85546875" style="2" bestFit="1" customWidth="1"/>
    <col min="4627" max="4627" width="5.85546875" style="2" customWidth="1"/>
    <col min="4628" max="4634" width="0" style="2" hidden="1" customWidth="1"/>
    <col min="4635" max="4864" width="9" style="2"/>
    <col min="4865" max="4865" width="5" style="2" bestFit="1" customWidth="1"/>
    <col min="4866" max="4866" width="22.85546875" style="2" customWidth="1"/>
    <col min="4867" max="4867" width="15.42578125" style="2" customWidth="1"/>
    <col min="4868" max="4868" width="14.5703125" style="2" customWidth="1"/>
    <col min="4869" max="4869" width="11.28515625" style="2" customWidth="1"/>
    <col min="4870" max="4870" width="5.85546875" style="2" customWidth="1"/>
    <col min="4871" max="4871" width="11.85546875" style="2" bestFit="1" customWidth="1"/>
    <col min="4872" max="4872" width="10.42578125" style="2" customWidth="1"/>
    <col min="4873" max="4873" width="5.5703125" style="2" customWidth="1"/>
    <col min="4874" max="4874" width="7.5703125" style="2" customWidth="1"/>
    <col min="4875" max="4875" width="13.140625" style="2" bestFit="1" customWidth="1"/>
    <col min="4876" max="4877" width="7" style="2" customWidth="1"/>
    <col min="4878" max="4878" width="11.140625" style="2" customWidth="1"/>
    <col min="4879" max="4879" width="12.5703125" style="2" bestFit="1" customWidth="1"/>
    <col min="4880" max="4880" width="10.42578125" style="2" customWidth="1"/>
    <col min="4881" max="4881" width="7.42578125" style="2" customWidth="1"/>
    <col min="4882" max="4882" width="15.85546875" style="2" bestFit="1" customWidth="1"/>
    <col min="4883" max="4883" width="5.85546875" style="2" customWidth="1"/>
    <col min="4884" max="4890" width="0" style="2" hidden="1" customWidth="1"/>
    <col min="4891" max="5120" width="9" style="2"/>
    <col min="5121" max="5121" width="5" style="2" bestFit="1" customWidth="1"/>
    <col min="5122" max="5122" width="22.85546875" style="2" customWidth="1"/>
    <col min="5123" max="5123" width="15.42578125" style="2" customWidth="1"/>
    <col min="5124" max="5124" width="14.5703125" style="2" customWidth="1"/>
    <col min="5125" max="5125" width="11.28515625" style="2" customWidth="1"/>
    <col min="5126" max="5126" width="5.85546875" style="2" customWidth="1"/>
    <col min="5127" max="5127" width="11.85546875" style="2" bestFit="1" customWidth="1"/>
    <col min="5128" max="5128" width="10.42578125" style="2" customWidth="1"/>
    <col min="5129" max="5129" width="5.5703125" style="2" customWidth="1"/>
    <col min="5130" max="5130" width="7.5703125" style="2" customWidth="1"/>
    <col min="5131" max="5131" width="13.140625" style="2" bestFit="1" customWidth="1"/>
    <col min="5132" max="5133" width="7" style="2" customWidth="1"/>
    <col min="5134" max="5134" width="11.140625" style="2" customWidth="1"/>
    <col min="5135" max="5135" width="12.5703125" style="2" bestFit="1" customWidth="1"/>
    <col min="5136" max="5136" width="10.42578125" style="2" customWidth="1"/>
    <col min="5137" max="5137" width="7.42578125" style="2" customWidth="1"/>
    <col min="5138" max="5138" width="15.85546875" style="2" bestFit="1" customWidth="1"/>
    <col min="5139" max="5139" width="5.85546875" style="2" customWidth="1"/>
    <col min="5140" max="5146" width="0" style="2" hidden="1" customWidth="1"/>
    <col min="5147" max="5376" width="9" style="2"/>
    <col min="5377" max="5377" width="5" style="2" bestFit="1" customWidth="1"/>
    <col min="5378" max="5378" width="22.85546875" style="2" customWidth="1"/>
    <col min="5379" max="5379" width="15.42578125" style="2" customWidth="1"/>
    <col min="5380" max="5380" width="14.5703125" style="2" customWidth="1"/>
    <col min="5381" max="5381" width="11.28515625" style="2" customWidth="1"/>
    <col min="5382" max="5382" width="5.85546875" style="2" customWidth="1"/>
    <col min="5383" max="5383" width="11.85546875" style="2" bestFit="1" customWidth="1"/>
    <col min="5384" max="5384" width="10.42578125" style="2" customWidth="1"/>
    <col min="5385" max="5385" width="5.5703125" style="2" customWidth="1"/>
    <col min="5386" max="5386" width="7.5703125" style="2" customWidth="1"/>
    <col min="5387" max="5387" width="13.140625" style="2" bestFit="1" customWidth="1"/>
    <col min="5388" max="5389" width="7" style="2" customWidth="1"/>
    <col min="5390" max="5390" width="11.140625" style="2" customWidth="1"/>
    <col min="5391" max="5391" width="12.5703125" style="2" bestFit="1" customWidth="1"/>
    <col min="5392" max="5392" width="10.42578125" style="2" customWidth="1"/>
    <col min="5393" max="5393" width="7.42578125" style="2" customWidth="1"/>
    <col min="5394" max="5394" width="15.85546875" style="2" bestFit="1" customWidth="1"/>
    <col min="5395" max="5395" width="5.85546875" style="2" customWidth="1"/>
    <col min="5396" max="5402" width="0" style="2" hidden="1" customWidth="1"/>
    <col min="5403" max="5632" width="9" style="2"/>
    <col min="5633" max="5633" width="5" style="2" bestFit="1" customWidth="1"/>
    <col min="5634" max="5634" width="22.85546875" style="2" customWidth="1"/>
    <col min="5635" max="5635" width="15.42578125" style="2" customWidth="1"/>
    <col min="5636" max="5636" width="14.5703125" style="2" customWidth="1"/>
    <col min="5637" max="5637" width="11.28515625" style="2" customWidth="1"/>
    <col min="5638" max="5638" width="5.85546875" style="2" customWidth="1"/>
    <col min="5639" max="5639" width="11.85546875" style="2" bestFit="1" customWidth="1"/>
    <col min="5640" max="5640" width="10.42578125" style="2" customWidth="1"/>
    <col min="5641" max="5641" width="5.5703125" style="2" customWidth="1"/>
    <col min="5642" max="5642" width="7.5703125" style="2" customWidth="1"/>
    <col min="5643" max="5643" width="13.140625" style="2" bestFit="1" customWidth="1"/>
    <col min="5644" max="5645" width="7" style="2" customWidth="1"/>
    <col min="5646" max="5646" width="11.140625" style="2" customWidth="1"/>
    <col min="5647" max="5647" width="12.5703125" style="2" bestFit="1" customWidth="1"/>
    <col min="5648" max="5648" width="10.42578125" style="2" customWidth="1"/>
    <col min="5649" max="5649" width="7.42578125" style="2" customWidth="1"/>
    <col min="5650" max="5650" width="15.85546875" style="2" bestFit="1" customWidth="1"/>
    <col min="5651" max="5651" width="5.85546875" style="2" customWidth="1"/>
    <col min="5652" max="5658" width="0" style="2" hidden="1" customWidth="1"/>
    <col min="5659" max="5888" width="9" style="2"/>
    <col min="5889" max="5889" width="5" style="2" bestFit="1" customWidth="1"/>
    <col min="5890" max="5890" width="22.85546875" style="2" customWidth="1"/>
    <col min="5891" max="5891" width="15.42578125" style="2" customWidth="1"/>
    <col min="5892" max="5892" width="14.5703125" style="2" customWidth="1"/>
    <col min="5893" max="5893" width="11.28515625" style="2" customWidth="1"/>
    <col min="5894" max="5894" width="5.85546875" style="2" customWidth="1"/>
    <col min="5895" max="5895" width="11.85546875" style="2" bestFit="1" customWidth="1"/>
    <col min="5896" max="5896" width="10.42578125" style="2" customWidth="1"/>
    <col min="5897" max="5897" width="5.5703125" style="2" customWidth="1"/>
    <col min="5898" max="5898" width="7.5703125" style="2" customWidth="1"/>
    <col min="5899" max="5899" width="13.140625" style="2" bestFit="1" customWidth="1"/>
    <col min="5900" max="5901" width="7" style="2" customWidth="1"/>
    <col min="5902" max="5902" width="11.140625" style="2" customWidth="1"/>
    <col min="5903" max="5903" width="12.5703125" style="2" bestFit="1" customWidth="1"/>
    <col min="5904" max="5904" width="10.42578125" style="2" customWidth="1"/>
    <col min="5905" max="5905" width="7.42578125" style="2" customWidth="1"/>
    <col min="5906" max="5906" width="15.85546875" style="2" bestFit="1" customWidth="1"/>
    <col min="5907" max="5907" width="5.85546875" style="2" customWidth="1"/>
    <col min="5908" max="5914" width="0" style="2" hidden="1" customWidth="1"/>
    <col min="5915" max="6144" width="9" style="2"/>
    <col min="6145" max="6145" width="5" style="2" bestFit="1" customWidth="1"/>
    <col min="6146" max="6146" width="22.85546875" style="2" customWidth="1"/>
    <col min="6147" max="6147" width="15.42578125" style="2" customWidth="1"/>
    <col min="6148" max="6148" width="14.5703125" style="2" customWidth="1"/>
    <col min="6149" max="6149" width="11.28515625" style="2" customWidth="1"/>
    <col min="6150" max="6150" width="5.85546875" style="2" customWidth="1"/>
    <col min="6151" max="6151" width="11.85546875" style="2" bestFit="1" customWidth="1"/>
    <col min="6152" max="6152" width="10.42578125" style="2" customWidth="1"/>
    <col min="6153" max="6153" width="5.5703125" style="2" customWidth="1"/>
    <col min="6154" max="6154" width="7.5703125" style="2" customWidth="1"/>
    <col min="6155" max="6155" width="13.140625" style="2" bestFit="1" customWidth="1"/>
    <col min="6156" max="6157" width="7" style="2" customWidth="1"/>
    <col min="6158" max="6158" width="11.140625" style="2" customWidth="1"/>
    <col min="6159" max="6159" width="12.5703125" style="2" bestFit="1" customWidth="1"/>
    <col min="6160" max="6160" width="10.42578125" style="2" customWidth="1"/>
    <col min="6161" max="6161" width="7.42578125" style="2" customWidth="1"/>
    <col min="6162" max="6162" width="15.85546875" style="2" bestFit="1" customWidth="1"/>
    <col min="6163" max="6163" width="5.85546875" style="2" customWidth="1"/>
    <col min="6164" max="6170" width="0" style="2" hidden="1" customWidth="1"/>
    <col min="6171" max="6400" width="9" style="2"/>
    <col min="6401" max="6401" width="5" style="2" bestFit="1" customWidth="1"/>
    <col min="6402" max="6402" width="22.85546875" style="2" customWidth="1"/>
    <col min="6403" max="6403" width="15.42578125" style="2" customWidth="1"/>
    <col min="6404" max="6404" width="14.5703125" style="2" customWidth="1"/>
    <col min="6405" max="6405" width="11.28515625" style="2" customWidth="1"/>
    <col min="6406" max="6406" width="5.85546875" style="2" customWidth="1"/>
    <col min="6407" max="6407" width="11.85546875" style="2" bestFit="1" customWidth="1"/>
    <col min="6408" max="6408" width="10.42578125" style="2" customWidth="1"/>
    <col min="6409" max="6409" width="5.5703125" style="2" customWidth="1"/>
    <col min="6410" max="6410" width="7.5703125" style="2" customWidth="1"/>
    <col min="6411" max="6411" width="13.140625" style="2" bestFit="1" customWidth="1"/>
    <col min="6412" max="6413" width="7" style="2" customWidth="1"/>
    <col min="6414" max="6414" width="11.140625" style="2" customWidth="1"/>
    <col min="6415" max="6415" width="12.5703125" style="2" bestFit="1" customWidth="1"/>
    <col min="6416" max="6416" width="10.42578125" style="2" customWidth="1"/>
    <col min="6417" max="6417" width="7.42578125" style="2" customWidth="1"/>
    <col min="6418" max="6418" width="15.85546875" style="2" bestFit="1" customWidth="1"/>
    <col min="6419" max="6419" width="5.85546875" style="2" customWidth="1"/>
    <col min="6420" max="6426" width="0" style="2" hidden="1" customWidth="1"/>
    <col min="6427" max="6656" width="9" style="2"/>
    <col min="6657" max="6657" width="5" style="2" bestFit="1" customWidth="1"/>
    <col min="6658" max="6658" width="22.85546875" style="2" customWidth="1"/>
    <col min="6659" max="6659" width="15.42578125" style="2" customWidth="1"/>
    <col min="6660" max="6660" width="14.5703125" style="2" customWidth="1"/>
    <col min="6661" max="6661" width="11.28515625" style="2" customWidth="1"/>
    <col min="6662" max="6662" width="5.85546875" style="2" customWidth="1"/>
    <col min="6663" max="6663" width="11.85546875" style="2" bestFit="1" customWidth="1"/>
    <col min="6664" max="6664" width="10.42578125" style="2" customWidth="1"/>
    <col min="6665" max="6665" width="5.5703125" style="2" customWidth="1"/>
    <col min="6666" max="6666" width="7.5703125" style="2" customWidth="1"/>
    <col min="6667" max="6667" width="13.140625" style="2" bestFit="1" customWidth="1"/>
    <col min="6668" max="6669" width="7" style="2" customWidth="1"/>
    <col min="6670" max="6670" width="11.140625" style="2" customWidth="1"/>
    <col min="6671" max="6671" width="12.5703125" style="2" bestFit="1" customWidth="1"/>
    <col min="6672" max="6672" width="10.42578125" style="2" customWidth="1"/>
    <col min="6673" max="6673" width="7.42578125" style="2" customWidth="1"/>
    <col min="6674" max="6674" width="15.85546875" style="2" bestFit="1" customWidth="1"/>
    <col min="6675" max="6675" width="5.85546875" style="2" customWidth="1"/>
    <col min="6676" max="6682" width="0" style="2" hidden="1" customWidth="1"/>
    <col min="6683" max="6912" width="9" style="2"/>
    <col min="6913" max="6913" width="5" style="2" bestFit="1" customWidth="1"/>
    <col min="6914" max="6914" width="22.85546875" style="2" customWidth="1"/>
    <col min="6915" max="6915" width="15.42578125" style="2" customWidth="1"/>
    <col min="6916" max="6916" width="14.5703125" style="2" customWidth="1"/>
    <col min="6917" max="6917" width="11.28515625" style="2" customWidth="1"/>
    <col min="6918" max="6918" width="5.85546875" style="2" customWidth="1"/>
    <col min="6919" max="6919" width="11.85546875" style="2" bestFit="1" customWidth="1"/>
    <col min="6920" max="6920" width="10.42578125" style="2" customWidth="1"/>
    <col min="6921" max="6921" width="5.5703125" style="2" customWidth="1"/>
    <col min="6922" max="6922" width="7.5703125" style="2" customWidth="1"/>
    <col min="6923" max="6923" width="13.140625" style="2" bestFit="1" customWidth="1"/>
    <col min="6924" max="6925" width="7" style="2" customWidth="1"/>
    <col min="6926" max="6926" width="11.140625" style="2" customWidth="1"/>
    <col min="6927" max="6927" width="12.5703125" style="2" bestFit="1" customWidth="1"/>
    <col min="6928" max="6928" width="10.42578125" style="2" customWidth="1"/>
    <col min="6929" max="6929" width="7.42578125" style="2" customWidth="1"/>
    <col min="6930" max="6930" width="15.85546875" style="2" bestFit="1" customWidth="1"/>
    <col min="6931" max="6931" width="5.85546875" style="2" customWidth="1"/>
    <col min="6932" max="6938" width="0" style="2" hidden="1" customWidth="1"/>
    <col min="6939" max="7168" width="9" style="2"/>
    <col min="7169" max="7169" width="5" style="2" bestFit="1" customWidth="1"/>
    <col min="7170" max="7170" width="22.85546875" style="2" customWidth="1"/>
    <col min="7171" max="7171" width="15.42578125" style="2" customWidth="1"/>
    <col min="7172" max="7172" width="14.5703125" style="2" customWidth="1"/>
    <col min="7173" max="7173" width="11.28515625" style="2" customWidth="1"/>
    <col min="7174" max="7174" width="5.85546875" style="2" customWidth="1"/>
    <col min="7175" max="7175" width="11.85546875" style="2" bestFit="1" customWidth="1"/>
    <col min="7176" max="7176" width="10.42578125" style="2" customWidth="1"/>
    <col min="7177" max="7177" width="5.5703125" style="2" customWidth="1"/>
    <col min="7178" max="7178" width="7.5703125" style="2" customWidth="1"/>
    <col min="7179" max="7179" width="13.140625" style="2" bestFit="1" customWidth="1"/>
    <col min="7180" max="7181" width="7" style="2" customWidth="1"/>
    <col min="7182" max="7182" width="11.140625" style="2" customWidth="1"/>
    <col min="7183" max="7183" width="12.5703125" style="2" bestFit="1" customWidth="1"/>
    <col min="7184" max="7184" width="10.42578125" style="2" customWidth="1"/>
    <col min="7185" max="7185" width="7.42578125" style="2" customWidth="1"/>
    <col min="7186" max="7186" width="15.85546875" style="2" bestFit="1" customWidth="1"/>
    <col min="7187" max="7187" width="5.85546875" style="2" customWidth="1"/>
    <col min="7188" max="7194" width="0" style="2" hidden="1" customWidth="1"/>
    <col min="7195" max="7424" width="9" style="2"/>
    <col min="7425" max="7425" width="5" style="2" bestFit="1" customWidth="1"/>
    <col min="7426" max="7426" width="22.85546875" style="2" customWidth="1"/>
    <col min="7427" max="7427" width="15.42578125" style="2" customWidth="1"/>
    <col min="7428" max="7428" width="14.5703125" style="2" customWidth="1"/>
    <col min="7429" max="7429" width="11.28515625" style="2" customWidth="1"/>
    <col min="7430" max="7430" width="5.85546875" style="2" customWidth="1"/>
    <col min="7431" max="7431" width="11.85546875" style="2" bestFit="1" customWidth="1"/>
    <col min="7432" max="7432" width="10.42578125" style="2" customWidth="1"/>
    <col min="7433" max="7433" width="5.5703125" style="2" customWidth="1"/>
    <col min="7434" max="7434" width="7.5703125" style="2" customWidth="1"/>
    <col min="7435" max="7435" width="13.140625" style="2" bestFit="1" customWidth="1"/>
    <col min="7436" max="7437" width="7" style="2" customWidth="1"/>
    <col min="7438" max="7438" width="11.140625" style="2" customWidth="1"/>
    <col min="7439" max="7439" width="12.5703125" style="2" bestFit="1" customWidth="1"/>
    <col min="7440" max="7440" width="10.42578125" style="2" customWidth="1"/>
    <col min="7441" max="7441" width="7.42578125" style="2" customWidth="1"/>
    <col min="7442" max="7442" width="15.85546875" style="2" bestFit="1" customWidth="1"/>
    <col min="7443" max="7443" width="5.85546875" style="2" customWidth="1"/>
    <col min="7444" max="7450" width="0" style="2" hidden="1" customWidth="1"/>
    <col min="7451" max="7680" width="9" style="2"/>
    <col min="7681" max="7681" width="5" style="2" bestFit="1" customWidth="1"/>
    <col min="7682" max="7682" width="22.85546875" style="2" customWidth="1"/>
    <col min="7683" max="7683" width="15.42578125" style="2" customWidth="1"/>
    <col min="7684" max="7684" width="14.5703125" style="2" customWidth="1"/>
    <col min="7685" max="7685" width="11.28515625" style="2" customWidth="1"/>
    <col min="7686" max="7686" width="5.85546875" style="2" customWidth="1"/>
    <col min="7687" max="7687" width="11.85546875" style="2" bestFit="1" customWidth="1"/>
    <col min="7688" max="7688" width="10.42578125" style="2" customWidth="1"/>
    <col min="7689" max="7689" width="5.5703125" style="2" customWidth="1"/>
    <col min="7690" max="7690" width="7.5703125" style="2" customWidth="1"/>
    <col min="7691" max="7691" width="13.140625" style="2" bestFit="1" customWidth="1"/>
    <col min="7692" max="7693" width="7" style="2" customWidth="1"/>
    <col min="7694" max="7694" width="11.140625" style="2" customWidth="1"/>
    <col min="7695" max="7695" width="12.5703125" style="2" bestFit="1" customWidth="1"/>
    <col min="7696" max="7696" width="10.42578125" style="2" customWidth="1"/>
    <col min="7697" max="7697" width="7.42578125" style="2" customWidth="1"/>
    <col min="7698" max="7698" width="15.85546875" style="2" bestFit="1" customWidth="1"/>
    <col min="7699" max="7699" width="5.85546875" style="2" customWidth="1"/>
    <col min="7700" max="7706" width="0" style="2" hidden="1" customWidth="1"/>
    <col min="7707" max="7936" width="9" style="2"/>
    <col min="7937" max="7937" width="5" style="2" bestFit="1" customWidth="1"/>
    <col min="7938" max="7938" width="22.85546875" style="2" customWidth="1"/>
    <col min="7939" max="7939" width="15.42578125" style="2" customWidth="1"/>
    <col min="7940" max="7940" width="14.5703125" style="2" customWidth="1"/>
    <col min="7941" max="7941" width="11.28515625" style="2" customWidth="1"/>
    <col min="7942" max="7942" width="5.85546875" style="2" customWidth="1"/>
    <col min="7943" max="7943" width="11.85546875" style="2" bestFit="1" customWidth="1"/>
    <col min="7944" max="7944" width="10.42578125" style="2" customWidth="1"/>
    <col min="7945" max="7945" width="5.5703125" style="2" customWidth="1"/>
    <col min="7946" max="7946" width="7.5703125" style="2" customWidth="1"/>
    <col min="7947" max="7947" width="13.140625" style="2" bestFit="1" customWidth="1"/>
    <col min="7948" max="7949" width="7" style="2" customWidth="1"/>
    <col min="7950" max="7950" width="11.140625" style="2" customWidth="1"/>
    <col min="7951" max="7951" width="12.5703125" style="2" bestFit="1" customWidth="1"/>
    <col min="7952" max="7952" width="10.42578125" style="2" customWidth="1"/>
    <col min="7953" max="7953" width="7.42578125" style="2" customWidth="1"/>
    <col min="7954" max="7954" width="15.85546875" style="2" bestFit="1" customWidth="1"/>
    <col min="7955" max="7955" width="5.85546875" style="2" customWidth="1"/>
    <col min="7956" max="7962" width="0" style="2" hidden="1" customWidth="1"/>
    <col min="7963" max="8192" width="9" style="2"/>
    <col min="8193" max="8193" width="5" style="2" bestFit="1" customWidth="1"/>
    <col min="8194" max="8194" width="22.85546875" style="2" customWidth="1"/>
    <col min="8195" max="8195" width="15.42578125" style="2" customWidth="1"/>
    <col min="8196" max="8196" width="14.5703125" style="2" customWidth="1"/>
    <col min="8197" max="8197" width="11.28515625" style="2" customWidth="1"/>
    <col min="8198" max="8198" width="5.85546875" style="2" customWidth="1"/>
    <col min="8199" max="8199" width="11.85546875" style="2" bestFit="1" customWidth="1"/>
    <col min="8200" max="8200" width="10.42578125" style="2" customWidth="1"/>
    <col min="8201" max="8201" width="5.5703125" style="2" customWidth="1"/>
    <col min="8202" max="8202" width="7.5703125" style="2" customWidth="1"/>
    <col min="8203" max="8203" width="13.140625" style="2" bestFit="1" customWidth="1"/>
    <col min="8204" max="8205" width="7" style="2" customWidth="1"/>
    <col min="8206" max="8206" width="11.140625" style="2" customWidth="1"/>
    <col min="8207" max="8207" width="12.5703125" style="2" bestFit="1" customWidth="1"/>
    <col min="8208" max="8208" width="10.42578125" style="2" customWidth="1"/>
    <col min="8209" max="8209" width="7.42578125" style="2" customWidth="1"/>
    <col min="8210" max="8210" width="15.85546875" style="2" bestFit="1" customWidth="1"/>
    <col min="8211" max="8211" width="5.85546875" style="2" customWidth="1"/>
    <col min="8212" max="8218" width="0" style="2" hidden="1" customWidth="1"/>
    <col min="8219" max="8448" width="9" style="2"/>
    <col min="8449" max="8449" width="5" style="2" bestFit="1" customWidth="1"/>
    <col min="8450" max="8450" width="22.85546875" style="2" customWidth="1"/>
    <col min="8451" max="8451" width="15.42578125" style="2" customWidth="1"/>
    <col min="8452" max="8452" width="14.5703125" style="2" customWidth="1"/>
    <col min="8453" max="8453" width="11.28515625" style="2" customWidth="1"/>
    <col min="8454" max="8454" width="5.85546875" style="2" customWidth="1"/>
    <col min="8455" max="8455" width="11.85546875" style="2" bestFit="1" customWidth="1"/>
    <col min="8456" max="8456" width="10.42578125" style="2" customWidth="1"/>
    <col min="8457" max="8457" width="5.5703125" style="2" customWidth="1"/>
    <col min="8458" max="8458" width="7.5703125" style="2" customWidth="1"/>
    <col min="8459" max="8459" width="13.140625" style="2" bestFit="1" customWidth="1"/>
    <col min="8460" max="8461" width="7" style="2" customWidth="1"/>
    <col min="8462" max="8462" width="11.140625" style="2" customWidth="1"/>
    <col min="8463" max="8463" width="12.5703125" style="2" bestFit="1" customWidth="1"/>
    <col min="8464" max="8464" width="10.42578125" style="2" customWidth="1"/>
    <col min="8465" max="8465" width="7.42578125" style="2" customWidth="1"/>
    <col min="8466" max="8466" width="15.85546875" style="2" bestFit="1" customWidth="1"/>
    <col min="8467" max="8467" width="5.85546875" style="2" customWidth="1"/>
    <col min="8468" max="8474" width="0" style="2" hidden="1" customWidth="1"/>
    <col min="8475" max="8704" width="9" style="2"/>
    <col min="8705" max="8705" width="5" style="2" bestFit="1" customWidth="1"/>
    <col min="8706" max="8706" width="22.85546875" style="2" customWidth="1"/>
    <col min="8707" max="8707" width="15.42578125" style="2" customWidth="1"/>
    <col min="8708" max="8708" width="14.5703125" style="2" customWidth="1"/>
    <col min="8709" max="8709" width="11.28515625" style="2" customWidth="1"/>
    <col min="8710" max="8710" width="5.85546875" style="2" customWidth="1"/>
    <col min="8711" max="8711" width="11.85546875" style="2" bestFit="1" customWidth="1"/>
    <col min="8712" max="8712" width="10.42578125" style="2" customWidth="1"/>
    <col min="8713" max="8713" width="5.5703125" style="2" customWidth="1"/>
    <col min="8714" max="8714" width="7.5703125" style="2" customWidth="1"/>
    <col min="8715" max="8715" width="13.140625" style="2" bestFit="1" customWidth="1"/>
    <col min="8716" max="8717" width="7" style="2" customWidth="1"/>
    <col min="8718" max="8718" width="11.140625" style="2" customWidth="1"/>
    <col min="8719" max="8719" width="12.5703125" style="2" bestFit="1" customWidth="1"/>
    <col min="8720" max="8720" width="10.42578125" style="2" customWidth="1"/>
    <col min="8721" max="8721" width="7.42578125" style="2" customWidth="1"/>
    <col min="8722" max="8722" width="15.85546875" style="2" bestFit="1" customWidth="1"/>
    <col min="8723" max="8723" width="5.85546875" style="2" customWidth="1"/>
    <col min="8724" max="8730" width="0" style="2" hidden="1" customWidth="1"/>
    <col min="8731" max="8960" width="9" style="2"/>
    <col min="8961" max="8961" width="5" style="2" bestFit="1" customWidth="1"/>
    <col min="8962" max="8962" width="22.85546875" style="2" customWidth="1"/>
    <col min="8963" max="8963" width="15.42578125" style="2" customWidth="1"/>
    <col min="8964" max="8964" width="14.5703125" style="2" customWidth="1"/>
    <col min="8965" max="8965" width="11.28515625" style="2" customWidth="1"/>
    <col min="8966" max="8966" width="5.85546875" style="2" customWidth="1"/>
    <col min="8967" max="8967" width="11.85546875" style="2" bestFit="1" customWidth="1"/>
    <col min="8968" max="8968" width="10.42578125" style="2" customWidth="1"/>
    <col min="8969" max="8969" width="5.5703125" style="2" customWidth="1"/>
    <col min="8970" max="8970" width="7.5703125" style="2" customWidth="1"/>
    <col min="8971" max="8971" width="13.140625" style="2" bestFit="1" customWidth="1"/>
    <col min="8972" max="8973" width="7" style="2" customWidth="1"/>
    <col min="8974" max="8974" width="11.140625" style="2" customWidth="1"/>
    <col min="8975" max="8975" width="12.5703125" style="2" bestFit="1" customWidth="1"/>
    <col min="8976" max="8976" width="10.42578125" style="2" customWidth="1"/>
    <col min="8977" max="8977" width="7.42578125" style="2" customWidth="1"/>
    <col min="8978" max="8978" width="15.85546875" style="2" bestFit="1" customWidth="1"/>
    <col min="8979" max="8979" width="5.85546875" style="2" customWidth="1"/>
    <col min="8980" max="8986" width="0" style="2" hidden="1" customWidth="1"/>
    <col min="8987" max="9216" width="9" style="2"/>
    <col min="9217" max="9217" width="5" style="2" bestFit="1" customWidth="1"/>
    <col min="9218" max="9218" width="22.85546875" style="2" customWidth="1"/>
    <col min="9219" max="9219" width="15.42578125" style="2" customWidth="1"/>
    <col min="9220" max="9220" width="14.5703125" style="2" customWidth="1"/>
    <col min="9221" max="9221" width="11.28515625" style="2" customWidth="1"/>
    <col min="9222" max="9222" width="5.85546875" style="2" customWidth="1"/>
    <col min="9223" max="9223" width="11.85546875" style="2" bestFit="1" customWidth="1"/>
    <col min="9224" max="9224" width="10.42578125" style="2" customWidth="1"/>
    <col min="9225" max="9225" width="5.5703125" style="2" customWidth="1"/>
    <col min="9226" max="9226" width="7.5703125" style="2" customWidth="1"/>
    <col min="9227" max="9227" width="13.140625" style="2" bestFit="1" customWidth="1"/>
    <col min="9228" max="9229" width="7" style="2" customWidth="1"/>
    <col min="9230" max="9230" width="11.140625" style="2" customWidth="1"/>
    <col min="9231" max="9231" width="12.5703125" style="2" bestFit="1" customWidth="1"/>
    <col min="9232" max="9232" width="10.42578125" style="2" customWidth="1"/>
    <col min="9233" max="9233" width="7.42578125" style="2" customWidth="1"/>
    <col min="9234" max="9234" width="15.85546875" style="2" bestFit="1" customWidth="1"/>
    <col min="9235" max="9235" width="5.85546875" style="2" customWidth="1"/>
    <col min="9236" max="9242" width="0" style="2" hidden="1" customWidth="1"/>
    <col min="9243" max="9472" width="9" style="2"/>
    <col min="9473" max="9473" width="5" style="2" bestFit="1" customWidth="1"/>
    <col min="9474" max="9474" width="22.85546875" style="2" customWidth="1"/>
    <col min="9475" max="9475" width="15.42578125" style="2" customWidth="1"/>
    <col min="9476" max="9476" width="14.5703125" style="2" customWidth="1"/>
    <col min="9477" max="9477" width="11.28515625" style="2" customWidth="1"/>
    <col min="9478" max="9478" width="5.85546875" style="2" customWidth="1"/>
    <col min="9479" max="9479" width="11.85546875" style="2" bestFit="1" customWidth="1"/>
    <col min="9480" max="9480" width="10.42578125" style="2" customWidth="1"/>
    <col min="9481" max="9481" width="5.5703125" style="2" customWidth="1"/>
    <col min="9482" max="9482" width="7.5703125" style="2" customWidth="1"/>
    <col min="9483" max="9483" width="13.140625" style="2" bestFit="1" customWidth="1"/>
    <col min="9484" max="9485" width="7" style="2" customWidth="1"/>
    <col min="9486" max="9486" width="11.140625" style="2" customWidth="1"/>
    <col min="9487" max="9487" width="12.5703125" style="2" bestFit="1" customWidth="1"/>
    <col min="9488" max="9488" width="10.42578125" style="2" customWidth="1"/>
    <col min="9489" max="9489" width="7.42578125" style="2" customWidth="1"/>
    <col min="9490" max="9490" width="15.85546875" style="2" bestFit="1" customWidth="1"/>
    <col min="9491" max="9491" width="5.85546875" style="2" customWidth="1"/>
    <col min="9492" max="9498" width="0" style="2" hidden="1" customWidth="1"/>
    <col min="9499" max="9728" width="9" style="2"/>
    <col min="9729" max="9729" width="5" style="2" bestFit="1" customWidth="1"/>
    <col min="9730" max="9730" width="22.85546875" style="2" customWidth="1"/>
    <col min="9731" max="9731" width="15.42578125" style="2" customWidth="1"/>
    <col min="9732" max="9732" width="14.5703125" style="2" customWidth="1"/>
    <col min="9733" max="9733" width="11.28515625" style="2" customWidth="1"/>
    <col min="9734" max="9734" width="5.85546875" style="2" customWidth="1"/>
    <col min="9735" max="9735" width="11.85546875" style="2" bestFit="1" customWidth="1"/>
    <col min="9736" max="9736" width="10.42578125" style="2" customWidth="1"/>
    <col min="9737" max="9737" width="5.5703125" style="2" customWidth="1"/>
    <col min="9738" max="9738" width="7.5703125" style="2" customWidth="1"/>
    <col min="9739" max="9739" width="13.140625" style="2" bestFit="1" customWidth="1"/>
    <col min="9740" max="9741" width="7" style="2" customWidth="1"/>
    <col min="9742" max="9742" width="11.140625" style="2" customWidth="1"/>
    <col min="9743" max="9743" width="12.5703125" style="2" bestFit="1" customWidth="1"/>
    <col min="9744" max="9744" width="10.42578125" style="2" customWidth="1"/>
    <col min="9745" max="9745" width="7.42578125" style="2" customWidth="1"/>
    <col min="9746" max="9746" width="15.85546875" style="2" bestFit="1" customWidth="1"/>
    <col min="9747" max="9747" width="5.85546875" style="2" customWidth="1"/>
    <col min="9748" max="9754" width="0" style="2" hidden="1" customWidth="1"/>
    <col min="9755" max="9984" width="9" style="2"/>
    <col min="9985" max="9985" width="5" style="2" bestFit="1" customWidth="1"/>
    <col min="9986" max="9986" width="22.85546875" style="2" customWidth="1"/>
    <col min="9987" max="9987" width="15.42578125" style="2" customWidth="1"/>
    <col min="9988" max="9988" width="14.5703125" style="2" customWidth="1"/>
    <col min="9989" max="9989" width="11.28515625" style="2" customWidth="1"/>
    <col min="9990" max="9990" width="5.85546875" style="2" customWidth="1"/>
    <col min="9991" max="9991" width="11.85546875" style="2" bestFit="1" customWidth="1"/>
    <col min="9992" max="9992" width="10.42578125" style="2" customWidth="1"/>
    <col min="9993" max="9993" width="5.5703125" style="2" customWidth="1"/>
    <col min="9994" max="9994" width="7.5703125" style="2" customWidth="1"/>
    <col min="9995" max="9995" width="13.140625" style="2" bestFit="1" customWidth="1"/>
    <col min="9996" max="9997" width="7" style="2" customWidth="1"/>
    <col min="9998" max="9998" width="11.140625" style="2" customWidth="1"/>
    <col min="9999" max="9999" width="12.5703125" style="2" bestFit="1" customWidth="1"/>
    <col min="10000" max="10000" width="10.42578125" style="2" customWidth="1"/>
    <col min="10001" max="10001" width="7.42578125" style="2" customWidth="1"/>
    <col min="10002" max="10002" width="15.85546875" style="2" bestFit="1" customWidth="1"/>
    <col min="10003" max="10003" width="5.85546875" style="2" customWidth="1"/>
    <col min="10004" max="10010" width="0" style="2" hidden="1" customWidth="1"/>
    <col min="10011" max="10240" width="9" style="2"/>
    <col min="10241" max="10241" width="5" style="2" bestFit="1" customWidth="1"/>
    <col min="10242" max="10242" width="22.85546875" style="2" customWidth="1"/>
    <col min="10243" max="10243" width="15.42578125" style="2" customWidth="1"/>
    <col min="10244" max="10244" width="14.5703125" style="2" customWidth="1"/>
    <col min="10245" max="10245" width="11.28515625" style="2" customWidth="1"/>
    <col min="10246" max="10246" width="5.85546875" style="2" customWidth="1"/>
    <col min="10247" max="10247" width="11.85546875" style="2" bestFit="1" customWidth="1"/>
    <col min="10248" max="10248" width="10.42578125" style="2" customWidth="1"/>
    <col min="10249" max="10249" width="5.5703125" style="2" customWidth="1"/>
    <col min="10250" max="10250" width="7.5703125" style="2" customWidth="1"/>
    <col min="10251" max="10251" width="13.140625" style="2" bestFit="1" customWidth="1"/>
    <col min="10252" max="10253" width="7" style="2" customWidth="1"/>
    <col min="10254" max="10254" width="11.140625" style="2" customWidth="1"/>
    <col min="10255" max="10255" width="12.5703125" style="2" bestFit="1" customWidth="1"/>
    <col min="10256" max="10256" width="10.42578125" style="2" customWidth="1"/>
    <col min="10257" max="10257" width="7.42578125" style="2" customWidth="1"/>
    <col min="10258" max="10258" width="15.85546875" style="2" bestFit="1" customWidth="1"/>
    <col min="10259" max="10259" width="5.85546875" style="2" customWidth="1"/>
    <col min="10260" max="10266" width="0" style="2" hidden="1" customWidth="1"/>
    <col min="10267" max="10496" width="9" style="2"/>
    <col min="10497" max="10497" width="5" style="2" bestFit="1" customWidth="1"/>
    <col min="10498" max="10498" width="22.85546875" style="2" customWidth="1"/>
    <col min="10499" max="10499" width="15.42578125" style="2" customWidth="1"/>
    <col min="10500" max="10500" width="14.5703125" style="2" customWidth="1"/>
    <col min="10501" max="10501" width="11.28515625" style="2" customWidth="1"/>
    <col min="10502" max="10502" width="5.85546875" style="2" customWidth="1"/>
    <col min="10503" max="10503" width="11.85546875" style="2" bestFit="1" customWidth="1"/>
    <col min="10504" max="10504" width="10.42578125" style="2" customWidth="1"/>
    <col min="10505" max="10505" width="5.5703125" style="2" customWidth="1"/>
    <col min="10506" max="10506" width="7.5703125" style="2" customWidth="1"/>
    <col min="10507" max="10507" width="13.140625" style="2" bestFit="1" customWidth="1"/>
    <col min="10508" max="10509" width="7" style="2" customWidth="1"/>
    <col min="10510" max="10510" width="11.140625" style="2" customWidth="1"/>
    <col min="10511" max="10511" width="12.5703125" style="2" bestFit="1" customWidth="1"/>
    <col min="10512" max="10512" width="10.42578125" style="2" customWidth="1"/>
    <col min="10513" max="10513" width="7.42578125" style="2" customWidth="1"/>
    <col min="10514" max="10514" width="15.85546875" style="2" bestFit="1" customWidth="1"/>
    <col min="10515" max="10515" width="5.85546875" style="2" customWidth="1"/>
    <col min="10516" max="10522" width="0" style="2" hidden="1" customWidth="1"/>
    <col min="10523" max="10752" width="9" style="2"/>
    <col min="10753" max="10753" width="5" style="2" bestFit="1" customWidth="1"/>
    <col min="10754" max="10754" width="22.85546875" style="2" customWidth="1"/>
    <col min="10755" max="10755" width="15.42578125" style="2" customWidth="1"/>
    <col min="10756" max="10756" width="14.5703125" style="2" customWidth="1"/>
    <col min="10757" max="10757" width="11.28515625" style="2" customWidth="1"/>
    <col min="10758" max="10758" width="5.85546875" style="2" customWidth="1"/>
    <col min="10759" max="10759" width="11.85546875" style="2" bestFit="1" customWidth="1"/>
    <col min="10760" max="10760" width="10.42578125" style="2" customWidth="1"/>
    <col min="10761" max="10761" width="5.5703125" style="2" customWidth="1"/>
    <col min="10762" max="10762" width="7.5703125" style="2" customWidth="1"/>
    <col min="10763" max="10763" width="13.140625" style="2" bestFit="1" customWidth="1"/>
    <col min="10764" max="10765" width="7" style="2" customWidth="1"/>
    <col min="10766" max="10766" width="11.140625" style="2" customWidth="1"/>
    <col min="10767" max="10767" width="12.5703125" style="2" bestFit="1" customWidth="1"/>
    <col min="10768" max="10768" width="10.42578125" style="2" customWidth="1"/>
    <col min="10769" max="10769" width="7.42578125" style="2" customWidth="1"/>
    <col min="10770" max="10770" width="15.85546875" style="2" bestFit="1" customWidth="1"/>
    <col min="10771" max="10771" width="5.85546875" style="2" customWidth="1"/>
    <col min="10772" max="10778" width="0" style="2" hidden="1" customWidth="1"/>
    <col min="10779" max="11008" width="9" style="2"/>
    <col min="11009" max="11009" width="5" style="2" bestFit="1" customWidth="1"/>
    <col min="11010" max="11010" width="22.85546875" style="2" customWidth="1"/>
    <col min="11011" max="11011" width="15.42578125" style="2" customWidth="1"/>
    <col min="11012" max="11012" width="14.5703125" style="2" customWidth="1"/>
    <col min="11013" max="11013" width="11.28515625" style="2" customWidth="1"/>
    <col min="11014" max="11014" width="5.85546875" style="2" customWidth="1"/>
    <col min="11015" max="11015" width="11.85546875" style="2" bestFit="1" customWidth="1"/>
    <col min="11016" max="11016" width="10.42578125" style="2" customWidth="1"/>
    <col min="11017" max="11017" width="5.5703125" style="2" customWidth="1"/>
    <col min="11018" max="11018" width="7.5703125" style="2" customWidth="1"/>
    <col min="11019" max="11019" width="13.140625" style="2" bestFit="1" customWidth="1"/>
    <col min="11020" max="11021" width="7" style="2" customWidth="1"/>
    <col min="11022" max="11022" width="11.140625" style="2" customWidth="1"/>
    <col min="11023" max="11023" width="12.5703125" style="2" bestFit="1" customWidth="1"/>
    <col min="11024" max="11024" width="10.42578125" style="2" customWidth="1"/>
    <col min="11025" max="11025" width="7.42578125" style="2" customWidth="1"/>
    <col min="11026" max="11026" width="15.85546875" style="2" bestFit="1" customWidth="1"/>
    <col min="11027" max="11027" width="5.85546875" style="2" customWidth="1"/>
    <col min="11028" max="11034" width="0" style="2" hidden="1" customWidth="1"/>
    <col min="11035" max="11264" width="9" style="2"/>
    <col min="11265" max="11265" width="5" style="2" bestFit="1" customWidth="1"/>
    <col min="11266" max="11266" width="22.85546875" style="2" customWidth="1"/>
    <col min="11267" max="11267" width="15.42578125" style="2" customWidth="1"/>
    <col min="11268" max="11268" width="14.5703125" style="2" customWidth="1"/>
    <col min="11269" max="11269" width="11.28515625" style="2" customWidth="1"/>
    <col min="11270" max="11270" width="5.85546875" style="2" customWidth="1"/>
    <col min="11271" max="11271" width="11.85546875" style="2" bestFit="1" customWidth="1"/>
    <col min="11272" max="11272" width="10.42578125" style="2" customWidth="1"/>
    <col min="11273" max="11273" width="5.5703125" style="2" customWidth="1"/>
    <col min="11274" max="11274" width="7.5703125" style="2" customWidth="1"/>
    <col min="11275" max="11275" width="13.140625" style="2" bestFit="1" customWidth="1"/>
    <col min="11276" max="11277" width="7" style="2" customWidth="1"/>
    <col min="11278" max="11278" width="11.140625" style="2" customWidth="1"/>
    <col min="11279" max="11279" width="12.5703125" style="2" bestFit="1" customWidth="1"/>
    <col min="11280" max="11280" width="10.42578125" style="2" customWidth="1"/>
    <col min="11281" max="11281" width="7.42578125" style="2" customWidth="1"/>
    <col min="11282" max="11282" width="15.85546875" style="2" bestFit="1" customWidth="1"/>
    <col min="11283" max="11283" width="5.85546875" style="2" customWidth="1"/>
    <col min="11284" max="11290" width="0" style="2" hidden="1" customWidth="1"/>
    <col min="11291" max="11520" width="9" style="2"/>
    <col min="11521" max="11521" width="5" style="2" bestFit="1" customWidth="1"/>
    <col min="11522" max="11522" width="22.85546875" style="2" customWidth="1"/>
    <col min="11523" max="11523" width="15.42578125" style="2" customWidth="1"/>
    <col min="11524" max="11524" width="14.5703125" style="2" customWidth="1"/>
    <col min="11525" max="11525" width="11.28515625" style="2" customWidth="1"/>
    <col min="11526" max="11526" width="5.85546875" style="2" customWidth="1"/>
    <col min="11527" max="11527" width="11.85546875" style="2" bestFit="1" customWidth="1"/>
    <col min="11528" max="11528" width="10.42578125" style="2" customWidth="1"/>
    <col min="11529" max="11529" width="5.5703125" style="2" customWidth="1"/>
    <col min="11530" max="11530" width="7.5703125" style="2" customWidth="1"/>
    <col min="11531" max="11531" width="13.140625" style="2" bestFit="1" customWidth="1"/>
    <col min="11532" max="11533" width="7" style="2" customWidth="1"/>
    <col min="11534" max="11534" width="11.140625" style="2" customWidth="1"/>
    <col min="11535" max="11535" width="12.5703125" style="2" bestFit="1" customWidth="1"/>
    <col min="11536" max="11536" width="10.42578125" style="2" customWidth="1"/>
    <col min="11537" max="11537" width="7.42578125" style="2" customWidth="1"/>
    <col min="11538" max="11538" width="15.85546875" style="2" bestFit="1" customWidth="1"/>
    <col min="11539" max="11539" width="5.85546875" style="2" customWidth="1"/>
    <col min="11540" max="11546" width="0" style="2" hidden="1" customWidth="1"/>
    <col min="11547" max="11776" width="9" style="2"/>
    <col min="11777" max="11777" width="5" style="2" bestFit="1" customWidth="1"/>
    <col min="11778" max="11778" width="22.85546875" style="2" customWidth="1"/>
    <col min="11779" max="11779" width="15.42578125" style="2" customWidth="1"/>
    <col min="11780" max="11780" width="14.5703125" style="2" customWidth="1"/>
    <col min="11781" max="11781" width="11.28515625" style="2" customWidth="1"/>
    <col min="11782" max="11782" width="5.85546875" style="2" customWidth="1"/>
    <col min="11783" max="11783" width="11.85546875" style="2" bestFit="1" customWidth="1"/>
    <col min="11784" max="11784" width="10.42578125" style="2" customWidth="1"/>
    <col min="11785" max="11785" width="5.5703125" style="2" customWidth="1"/>
    <col min="11786" max="11786" width="7.5703125" style="2" customWidth="1"/>
    <col min="11787" max="11787" width="13.140625" style="2" bestFit="1" customWidth="1"/>
    <col min="11788" max="11789" width="7" style="2" customWidth="1"/>
    <col min="11790" max="11790" width="11.140625" style="2" customWidth="1"/>
    <col min="11791" max="11791" width="12.5703125" style="2" bestFit="1" customWidth="1"/>
    <col min="11792" max="11792" width="10.42578125" style="2" customWidth="1"/>
    <col min="11793" max="11793" width="7.42578125" style="2" customWidth="1"/>
    <col min="11794" max="11794" width="15.85546875" style="2" bestFit="1" customWidth="1"/>
    <col min="11795" max="11795" width="5.85546875" style="2" customWidth="1"/>
    <col min="11796" max="11802" width="0" style="2" hidden="1" customWidth="1"/>
    <col min="11803" max="12032" width="9" style="2"/>
    <col min="12033" max="12033" width="5" style="2" bestFit="1" customWidth="1"/>
    <col min="12034" max="12034" width="22.85546875" style="2" customWidth="1"/>
    <col min="12035" max="12035" width="15.42578125" style="2" customWidth="1"/>
    <col min="12036" max="12036" width="14.5703125" style="2" customWidth="1"/>
    <col min="12037" max="12037" width="11.28515625" style="2" customWidth="1"/>
    <col min="12038" max="12038" width="5.85546875" style="2" customWidth="1"/>
    <col min="12039" max="12039" width="11.85546875" style="2" bestFit="1" customWidth="1"/>
    <col min="12040" max="12040" width="10.42578125" style="2" customWidth="1"/>
    <col min="12041" max="12041" width="5.5703125" style="2" customWidth="1"/>
    <col min="12042" max="12042" width="7.5703125" style="2" customWidth="1"/>
    <col min="12043" max="12043" width="13.140625" style="2" bestFit="1" customWidth="1"/>
    <col min="12044" max="12045" width="7" style="2" customWidth="1"/>
    <col min="12046" max="12046" width="11.140625" style="2" customWidth="1"/>
    <col min="12047" max="12047" width="12.5703125" style="2" bestFit="1" customWidth="1"/>
    <col min="12048" max="12048" width="10.42578125" style="2" customWidth="1"/>
    <col min="12049" max="12049" width="7.42578125" style="2" customWidth="1"/>
    <col min="12050" max="12050" width="15.85546875" style="2" bestFit="1" customWidth="1"/>
    <col min="12051" max="12051" width="5.85546875" style="2" customWidth="1"/>
    <col min="12052" max="12058" width="0" style="2" hidden="1" customWidth="1"/>
    <col min="12059" max="12288" width="9" style="2"/>
    <col min="12289" max="12289" width="5" style="2" bestFit="1" customWidth="1"/>
    <col min="12290" max="12290" width="22.85546875" style="2" customWidth="1"/>
    <col min="12291" max="12291" width="15.42578125" style="2" customWidth="1"/>
    <col min="12292" max="12292" width="14.5703125" style="2" customWidth="1"/>
    <col min="12293" max="12293" width="11.28515625" style="2" customWidth="1"/>
    <col min="12294" max="12294" width="5.85546875" style="2" customWidth="1"/>
    <col min="12295" max="12295" width="11.85546875" style="2" bestFit="1" customWidth="1"/>
    <col min="12296" max="12296" width="10.42578125" style="2" customWidth="1"/>
    <col min="12297" max="12297" width="5.5703125" style="2" customWidth="1"/>
    <col min="12298" max="12298" width="7.5703125" style="2" customWidth="1"/>
    <col min="12299" max="12299" width="13.140625" style="2" bestFit="1" customWidth="1"/>
    <col min="12300" max="12301" width="7" style="2" customWidth="1"/>
    <col min="12302" max="12302" width="11.140625" style="2" customWidth="1"/>
    <col min="12303" max="12303" width="12.5703125" style="2" bestFit="1" customWidth="1"/>
    <col min="12304" max="12304" width="10.42578125" style="2" customWidth="1"/>
    <col min="12305" max="12305" width="7.42578125" style="2" customWidth="1"/>
    <col min="12306" max="12306" width="15.85546875" style="2" bestFit="1" customWidth="1"/>
    <col min="12307" max="12307" width="5.85546875" style="2" customWidth="1"/>
    <col min="12308" max="12314" width="0" style="2" hidden="1" customWidth="1"/>
    <col min="12315" max="12544" width="9" style="2"/>
    <col min="12545" max="12545" width="5" style="2" bestFit="1" customWidth="1"/>
    <col min="12546" max="12546" width="22.85546875" style="2" customWidth="1"/>
    <col min="12547" max="12547" width="15.42578125" style="2" customWidth="1"/>
    <col min="12548" max="12548" width="14.5703125" style="2" customWidth="1"/>
    <col min="12549" max="12549" width="11.28515625" style="2" customWidth="1"/>
    <col min="12550" max="12550" width="5.85546875" style="2" customWidth="1"/>
    <col min="12551" max="12551" width="11.85546875" style="2" bestFit="1" customWidth="1"/>
    <col min="12552" max="12552" width="10.42578125" style="2" customWidth="1"/>
    <col min="12553" max="12553" width="5.5703125" style="2" customWidth="1"/>
    <col min="12554" max="12554" width="7.5703125" style="2" customWidth="1"/>
    <col min="12555" max="12555" width="13.140625" style="2" bestFit="1" customWidth="1"/>
    <col min="12556" max="12557" width="7" style="2" customWidth="1"/>
    <col min="12558" max="12558" width="11.140625" style="2" customWidth="1"/>
    <col min="12559" max="12559" width="12.5703125" style="2" bestFit="1" customWidth="1"/>
    <col min="12560" max="12560" width="10.42578125" style="2" customWidth="1"/>
    <col min="12561" max="12561" width="7.42578125" style="2" customWidth="1"/>
    <col min="12562" max="12562" width="15.85546875" style="2" bestFit="1" customWidth="1"/>
    <col min="12563" max="12563" width="5.85546875" style="2" customWidth="1"/>
    <col min="12564" max="12570" width="0" style="2" hidden="1" customWidth="1"/>
    <col min="12571" max="12800" width="9" style="2"/>
    <col min="12801" max="12801" width="5" style="2" bestFit="1" customWidth="1"/>
    <col min="12802" max="12802" width="22.85546875" style="2" customWidth="1"/>
    <col min="12803" max="12803" width="15.42578125" style="2" customWidth="1"/>
    <col min="12804" max="12804" width="14.5703125" style="2" customWidth="1"/>
    <col min="12805" max="12805" width="11.28515625" style="2" customWidth="1"/>
    <col min="12806" max="12806" width="5.85546875" style="2" customWidth="1"/>
    <col min="12807" max="12807" width="11.85546875" style="2" bestFit="1" customWidth="1"/>
    <col min="12808" max="12808" width="10.42578125" style="2" customWidth="1"/>
    <col min="12809" max="12809" width="5.5703125" style="2" customWidth="1"/>
    <col min="12810" max="12810" width="7.5703125" style="2" customWidth="1"/>
    <col min="12811" max="12811" width="13.140625" style="2" bestFit="1" customWidth="1"/>
    <col min="12812" max="12813" width="7" style="2" customWidth="1"/>
    <col min="12814" max="12814" width="11.140625" style="2" customWidth="1"/>
    <col min="12815" max="12815" width="12.5703125" style="2" bestFit="1" customWidth="1"/>
    <col min="12816" max="12816" width="10.42578125" style="2" customWidth="1"/>
    <col min="12817" max="12817" width="7.42578125" style="2" customWidth="1"/>
    <col min="12818" max="12818" width="15.85546875" style="2" bestFit="1" customWidth="1"/>
    <col min="12819" max="12819" width="5.85546875" style="2" customWidth="1"/>
    <col min="12820" max="12826" width="0" style="2" hidden="1" customWidth="1"/>
    <col min="12827" max="13056" width="9" style="2"/>
    <col min="13057" max="13057" width="5" style="2" bestFit="1" customWidth="1"/>
    <col min="13058" max="13058" width="22.85546875" style="2" customWidth="1"/>
    <col min="13059" max="13059" width="15.42578125" style="2" customWidth="1"/>
    <col min="13060" max="13060" width="14.5703125" style="2" customWidth="1"/>
    <col min="13061" max="13061" width="11.28515625" style="2" customWidth="1"/>
    <col min="13062" max="13062" width="5.85546875" style="2" customWidth="1"/>
    <col min="13063" max="13063" width="11.85546875" style="2" bestFit="1" customWidth="1"/>
    <col min="13064" max="13064" width="10.42578125" style="2" customWidth="1"/>
    <col min="13065" max="13065" width="5.5703125" style="2" customWidth="1"/>
    <col min="13066" max="13066" width="7.5703125" style="2" customWidth="1"/>
    <col min="13067" max="13067" width="13.140625" style="2" bestFit="1" customWidth="1"/>
    <col min="13068" max="13069" width="7" style="2" customWidth="1"/>
    <col min="13070" max="13070" width="11.140625" style="2" customWidth="1"/>
    <col min="13071" max="13071" width="12.5703125" style="2" bestFit="1" customWidth="1"/>
    <col min="13072" max="13072" width="10.42578125" style="2" customWidth="1"/>
    <col min="13073" max="13073" width="7.42578125" style="2" customWidth="1"/>
    <col min="13074" max="13074" width="15.85546875" style="2" bestFit="1" customWidth="1"/>
    <col min="13075" max="13075" width="5.85546875" style="2" customWidth="1"/>
    <col min="13076" max="13082" width="0" style="2" hidden="1" customWidth="1"/>
    <col min="13083" max="13312" width="9" style="2"/>
    <col min="13313" max="13313" width="5" style="2" bestFit="1" customWidth="1"/>
    <col min="13314" max="13314" width="22.85546875" style="2" customWidth="1"/>
    <col min="13315" max="13315" width="15.42578125" style="2" customWidth="1"/>
    <col min="13316" max="13316" width="14.5703125" style="2" customWidth="1"/>
    <col min="13317" max="13317" width="11.28515625" style="2" customWidth="1"/>
    <col min="13318" max="13318" width="5.85546875" style="2" customWidth="1"/>
    <col min="13319" max="13319" width="11.85546875" style="2" bestFit="1" customWidth="1"/>
    <col min="13320" max="13320" width="10.42578125" style="2" customWidth="1"/>
    <col min="13321" max="13321" width="5.5703125" style="2" customWidth="1"/>
    <col min="13322" max="13322" width="7.5703125" style="2" customWidth="1"/>
    <col min="13323" max="13323" width="13.140625" style="2" bestFit="1" customWidth="1"/>
    <col min="13324" max="13325" width="7" style="2" customWidth="1"/>
    <col min="13326" max="13326" width="11.140625" style="2" customWidth="1"/>
    <col min="13327" max="13327" width="12.5703125" style="2" bestFit="1" customWidth="1"/>
    <col min="13328" max="13328" width="10.42578125" style="2" customWidth="1"/>
    <col min="13329" max="13329" width="7.42578125" style="2" customWidth="1"/>
    <col min="13330" max="13330" width="15.85546875" style="2" bestFit="1" customWidth="1"/>
    <col min="13331" max="13331" width="5.85546875" style="2" customWidth="1"/>
    <col min="13332" max="13338" width="0" style="2" hidden="1" customWidth="1"/>
    <col min="13339" max="13568" width="9" style="2"/>
    <col min="13569" max="13569" width="5" style="2" bestFit="1" customWidth="1"/>
    <col min="13570" max="13570" width="22.85546875" style="2" customWidth="1"/>
    <col min="13571" max="13571" width="15.42578125" style="2" customWidth="1"/>
    <col min="13572" max="13572" width="14.5703125" style="2" customWidth="1"/>
    <col min="13573" max="13573" width="11.28515625" style="2" customWidth="1"/>
    <col min="13574" max="13574" width="5.85546875" style="2" customWidth="1"/>
    <col min="13575" max="13575" width="11.85546875" style="2" bestFit="1" customWidth="1"/>
    <col min="13576" max="13576" width="10.42578125" style="2" customWidth="1"/>
    <col min="13577" max="13577" width="5.5703125" style="2" customWidth="1"/>
    <col min="13578" max="13578" width="7.5703125" style="2" customWidth="1"/>
    <col min="13579" max="13579" width="13.140625" style="2" bestFit="1" customWidth="1"/>
    <col min="13580" max="13581" width="7" style="2" customWidth="1"/>
    <col min="13582" max="13582" width="11.140625" style="2" customWidth="1"/>
    <col min="13583" max="13583" width="12.5703125" style="2" bestFit="1" customWidth="1"/>
    <col min="13584" max="13584" width="10.42578125" style="2" customWidth="1"/>
    <col min="13585" max="13585" width="7.42578125" style="2" customWidth="1"/>
    <col min="13586" max="13586" width="15.85546875" style="2" bestFit="1" customWidth="1"/>
    <col min="13587" max="13587" width="5.85546875" style="2" customWidth="1"/>
    <col min="13588" max="13594" width="0" style="2" hidden="1" customWidth="1"/>
    <col min="13595" max="13824" width="9" style="2"/>
    <col min="13825" max="13825" width="5" style="2" bestFit="1" customWidth="1"/>
    <col min="13826" max="13826" width="22.85546875" style="2" customWidth="1"/>
    <col min="13827" max="13827" width="15.42578125" style="2" customWidth="1"/>
    <col min="13828" max="13828" width="14.5703125" style="2" customWidth="1"/>
    <col min="13829" max="13829" width="11.28515625" style="2" customWidth="1"/>
    <col min="13830" max="13830" width="5.85546875" style="2" customWidth="1"/>
    <col min="13831" max="13831" width="11.85546875" style="2" bestFit="1" customWidth="1"/>
    <col min="13832" max="13832" width="10.42578125" style="2" customWidth="1"/>
    <col min="13833" max="13833" width="5.5703125" style="2" customWidth="1"/>
    <col min="13834" max="13834" width="7.5703125" style="2" customWidth="1"/>
    <col min="13835" max="13835" width="13.140625" style="2" bestFit="1" customWidth="1"/>
    <col min="13836" max="13837" width="7" style="2" customWidth="1"/>
    <col min="13838" max="13838" width="11.140625" style="2" customWidth="1"/>
    <col min="13839" max="13839" width="12.5703125" style="2" bestFit="1" customWidth="1"/>
    <col min="13840" max="13840" width="10.42578125" style="2" customWidth="1"/>
    <col min="13841" max="13841" width="7.42578125" style="2" customWidth="1"/>
    <col min="13842" max="13842" width="15.85546875" style="2" bestFit="1" customWidth="1"/>
    <col min="13843" max="13843" width="5.85546875" style="2" customWidth="1"/>
    <col min="13844" max="13850" width="0" style="2" hidden="1" customWidth="1"/>
    <col min="13851" max="14080" width="9" style="2"/>
    <col min="14081" max="14081" width="5" style="2" bestFit="1" customWidth="1"/>
    <col min="14082" max="14082" width="22.85546875" style="2" customWidth="1"/>
    <col min="14083" max="14083" width="15.42578125" style="2" customWidth="1"/>
    <col min="14084" max="14084" width="14.5703125" style="2" customWidth="1"/>
    <col min="14085" max="14085" width="11.28515625" style="2" customWidth="1"/>
    <col min="14086" max="14086" width="5.85546875" style="2" customWidth="1"/>
    <col min="14087" max="14087" width="11.85546875" style="2" bestFit="1" customWidth="1"/>
    <col min="14088" max="14088" width="10.42578125" style="2" customWidth="1"/>
    <col min="14089" max="14089" width="5.5703125" style="2" customWidth="1"/>
    <col min="14090" max="14090" width="7.5703125" style="2" customWidth="1"/>
    <col min="14091" max="14091" width="13.140625" style="2" bestFit="1" customWidth="1"/>
    <col min="14092" max="14093" width="7" style="2" customWidth="1"/>
    <col min="14094" max="14094" width="11.140625" style="2" customWidth="1"/>
    <col min="14095" max="14095" width="12.5703125" style="2" bestFit="1" customWidth="1"/>
    <col min="14096" max="14096" width="10.42578125" style="2" customWidth="1"/>
    <col min="14097" max="14097" width="7.42578125" style="2" customWidth="1"/>
    <col min="14098" max="14098" width="15.85546875" style="2" bestFit="1" customWidth="1"/>
    <col min="14099" max="14099" width="5.85546875" style="2" customWidth="1"/>
    <col min="14100" max="14106" width="0" style="2" hidden="1" customWidth="1"/>
    <col min="14107" max="14336" width="9" style="2"/>
    <col min="14337" max="14337" width="5" style="2" bestFit="1" customWidth="1"/>
    <col min="14338" max="14338" width="22.85546875" style="2" customWidth="1"/>
    <col min="14339" max="14339" width="15.42578125" style="2" customWidth="1"/>
    <col min="14340" max="14340" width="14.5703125" style="2" customWidth="1"/>
    <col min="14341" max="14341" width="11.28515625" style="2" customWidth="1"/>
    <col min="14342" max="14342" width="5.85546875" style="2" customWidth="1"/>
    <col min="14343" max="14343" width="11.85546875" style="2" bestFit="1" customWidth="1"/>
    <col min="14344" max="14344" width="10.42578125" style="2" customWidth="1"/>
    <col min="14345" max="14345" width="5.5703125" style="2" customWidth="1"/>
    <col min="14346" max="14346" width="7.5703125" style="2" customWidth="1"/>
    <col min="14347" max="14347" width="13.140625" style="2" bestFit="1" customWidth="1"/>
    <col min="14348" max="14349" width="7" style="2" customWidth="1"/>
    <col min="14350" max="14350" width="11.140625" style="2" customWidth="1"/>
    <col min="14351" max="14351" width="12.5703125" style="2" bestFit="1" customWidth="1"/>
    <col min="14352" max="14352" width="10.42578125" style="2" customWidth="1"/>
    <col min="14353" max="14353" width="7.42578125" style="2" customWidth="1"/>
    <col min="14354" max="14354" width="15.85546875" style="2" bestFit="1" customWidth="1"/>
    <col min="14355" max="14355" width="5.85546875" style="2" customWidth="1"/>
    <col min="14356" max="14362" width="0" style="2" hidden="1" customWidth="1"/>
    <col min="14363" max="14592" width="9" style="2"/>
    <col min="14593" max="14593" width="5" style="2" bestFit="1" customWidth="1"/>
    <col min="14594" max="14594" width="22.85546875" style="2" customWidth="1"/>
    <col min="14595" max="14595" width="15.42578125" style="2" customWidth="1"/>
    <col min="14596" max="14596" width="14.5703125" style="2" customWidth="1"/>
    <col min="14597" max="14597" width="11.28515625" style="2" customWidth="1"/>
    <col min="14598" max="14598" width="5.85546875" style="2" customWidth="1"/>
    <col min="14599" max="14599" width="11.85546875" style="2" bestFit="1" customWidth="1"/>
    <col min="14600" max="14600" width="10.42578125" style="2" customWidth="1"/>
    <col min="14601" max="14601" width="5.5703125" style="2" customWidth="1"/>
    <col min="14602" max="14602" width="7.5703125" style="2" customWidth="1"/>
    <col min="14603" max="14603" width="13.140625" style="2" bestFit="1" customWidth="1"/>
    <col min="14604" max="14605" width="7" style="2" customWidth="1"/>
    <col min="14606" max="14606" width="11.140625" style="2" customWidth="1"/>
    <col min="14607" max="14607" width="12.5703125" style="2" bestFit="1" customWidth="1"/>
    <col min="14608" max="14608" width="10.42578125" style="2" customWidth="1"/>
    <col min="14609" max="14609" width="7.42578125" style="2" customWidth="1"/>
    <col min="14610" max="14610" width="15.85546875" style="2" bestFit="1" customWidth="1"/>
    <col min="14611" max="14611" width="5.85546875" style="2" customWidth="1"/>
    <col min="14612" max="14618" width="0" style="2" hidden="1" customWidth="1"/>
    <col min="14619" max="14848" width="9" style="2"/>
    <col min="14849" max="14849" width="5" style="2" bestFit="1" customWidth="1"/>
    <col min="14850" max="14850" width="22.85546875" style="2" customWidth="1"/>
    <col min="14851" max="14851" width="15.42578125" style="2" customWidth="1"/>
    <col min="14852" max="14852" width="14.5703125" style="2" customWidth="1"/>
    <col min="14853" max="14853" width="11.28515625" style="2" customWidth="1"/>
    <col min="14854" max="14854" width="5.85546875" style="2" customWidth="1"/>
    <col min="14855" max="14855" width="11.85546875" style="2" bestFit="1" customWidth="1"/>
    <col min="14856" max="14856" width="10.42578125" style="2" customWidth="1"/>
    <col min="14857" max="14857" width="5.5703125" style="2" customWidth="1"/>
    <col min="14858" max="14858" width="7.5703125" style="2" customWidth="1"/>
    <col min="14859" max="14859" width="13.140625" style="2" bestFit="1" customWidth="1"/>
    <col min="14860" max="14861" width="7" style="2" customWidth="1"/>
    <col min="14862" max="14862" width="11.140625" style="2" customWidth="1"/>
    <col min="14863" max="14863" width="12.5703125" style="2" bestFit="1" customWidth="1"/>
    <col min="14864" max="14864" width="10.42578125" style="2" customWidth="1"/>
    <col min="14865" max="14865" width="7.42578125" style="2" customWidth="1"/>
    <col min="14866" max="14866" width="15.85546875" style="2" bestFit="1" customWidth="1"/>
    <col min="14867" max="14867" width="5.85546875" style="2" customWidth="1"/>
    <col min="14868" max="14874" width="0" style="2" hidden="1" customWidth="1"/>
    <col min="14875" max="15104" width="9" style="2"/>
    <col min="15105" max="15105" width="5" style="2" bestFit="1" customWidth="1"/>
    <col min="15106" max="15106" width="22.85546875" style="2" customWidth="1"/>
    <col min="15107" max="15107" width="15.42578125" style="2" customWidth="1"/>
    <col min="15108" max="15108" width="14.5703125" style="2" customWidth="1"/>
    <col min="15109" max="15109" width="11.28515625" style="2" customWidth="1"/>
    <col min="15110" max="15110" width="5.85546875" style="2" customWidth="1"/>
    <col min="15111" max="15111" width="11.85546875" style="2" bestFit="1" customWidth="1"/>
    <col min="15112" max="15112" width="10.42578125" style="2" customWidth="1"/>
    <col min="15113" max="15113" width="5.5703125" style="2" customWidth="1"/>
    <col min="15114" max="15114" width="7.5703125" style="2" customWidth="1"/>
    <col min="15115" max="15115" width="13.140625" style="2" bestFit="1" customWidth="1"/>
    <col min="15116" max="15117" width="7" style="2" customWidth="1"/>
    <col min="15118" max="15118" width="11.140625" style="2" customWidth="1"/>
    <col min="15119" max="15119" width="12.5703125" style="2" bestFit="1" customWidth="1"/>
    <col min="15120" max="15120" width="10.42578125" style="2" customWidth="1"/>
    <col min="15121" max="15121" width="7.42578125" style="2" customWidth="1"/>
    <col min="15122" max="15122" width="15.85546875" style="2" bestFit="1" customWidth="1"/>
    <col min="15123" max="15123" width="5.85546875" style="2" customWidth="1"/>
    <col min="15124" max="15130" width="0" style="2" hidden="1" customWidth="1"/>
    <col min="15131" max="15360" width="9" style="2"/>
    <col min="15361" max="15361" width="5" style="2" bestFit="1" customWidth="1"/>
    <col min="15362" max="15362" width="22.85546875" style="2" customWidth="1"/>
    <col min="15363" max="15363" width="15.42578125" style="2" customWidth="1"/>
    <col min="15364" max="15364" width="14.5703125" style="2" customWidth="1"/>
    <col min="15365" max="15365" width="11.28515625" style="2" customWidth="1"/>
    <col min="15366" max="15366" width="5.85546875" style="2" customWidth="1"/>
    <col min="15367" max="15367" width="11.85546875" style="2" bestFit="1" customWidth="1"/>
    <col min="15368" max="15368" width="10.42578125" style="2" customWidth="1"/>
    <col min="15369" max="15369" width="5.5703125" style="2" customWidth="1"/>
    <col min="15370" max="15370" width="7.5703125" style="2" customWidth="1"/>
    <col min="15371" max="15371" width="13.140625" style="2" bestFit="1" customWidth="1"/>
    <col min="15372" max="15373" width="7" style="2" customWidth="1"/>
    <col min="15374" max="15374" width="11.140625" style="2" customWidth="1"/>
    <col min="15375" max="15375" width="12.5703125" style="2" bestFit="1" customWidth="1"/>
    <col min="15376" max="15376" width="10.42578125" style="2" customWidth="1"/>
    <col min="15377" max="15377" width="7.42578125" style="2" customWidth="1"/>
    <col min="15378" max="15378" width="15.85546875" style="2" bestFit="1" customWidth="1"/>
    <col min="15379" max="15379" width="5.85546875" style="2" customWidth="1"/>
    <col min="15380" max="15386" width="0" style="2" hidden="1" customWidth="1"/>
    <col min="15387" max="15616" width="9" style="2"/>
    <col min="15617" max="15617" width="5" style="2" bestFit="1" customWidth="1"/>
    <col min="15618" max="15618" width="22.85546875" style="2" customWidth="1"/>
    <col min="15619" max="15619" width="15.42578125" style="2" customWidth="1"/>
    <col min="15620" max="15620" width="14.5703125" style="2" customWidth="1"/>
    <col min="15621" max="15621" width="11.28515625" style="2" customWidth="1"/>
    <col min="15622" max="15622" width="5.85546875" style="2" customWidth="1"/>
    <col min="15623" max="15623" width="11.85546875" style="2" bestFit="1" customWidth="1"/>
    <col min="15624" max="15624" width="10.42578125" style="2" customWidth="1"/>
    <col min="15625" max="15625" width="5.5703125" style="2" customWidth="1"/>
    <col min="15626" max="15626" width="7.5703125" style="2" customWidth="1"/>
    <col min="15627" max="15627" width="13.140625" style="2" bestFit="1" customWidth="1"/>
    <col min="15628" max="15629" width="7" style="2" customWidth="1"/>
    <col min="15630" max="15630" width="11.140625" style="2" customWidth="1"/>
    <col min="15631" max="15631" width="12.5703125" style="2" bestFit="1" customWidth="1"/>
    <col min="15632" max="15632" width="10.42578125" style="2" customWidth="1"/>
    <col min="15633" max="15633" width="7.42578125" style="2" customWidth="1"/>
    <col min="15634" max="15634" width="15.85546875" style="2" bestFit="1" customWidth="1"/>
    <col min="15635" max="15635" width="5.85546875" style="2" customWidth="1"/>
    <col min="15636" max="15642" width="0" style="2" hidden="1" customWidth="1"/>
    <col min="15643" max="15872" width="9" style="2"/>
    <col min="15873" max="15873" width="5" style="2" bestFit="1" customWidth="1"/>
    <col min="15874" max="15874" width="22.85546875" style="2" customWidth="1"/>
    <col min="15875" max="15875" width="15.42578125" style="2" customWidth="1"/>
    <col min="15876" max="15876" width="14.5703125" style="2" customWidth="1"/>
    <col min="15877" max="15877" width="11.28515625" style="2" customWidth="1"/>
    <col min="15878" max="15878" width="5.85546875" style="2" customWidth="1"/>
    <col min="15879" max="15879" width="11.85546875" style="2" bestFit="1" customWidth="1"/>
    <col min="15880" max="15880" width="10.42578125" style="2" customWidth="1"/>
    <col min="15881" max="15881" width="5.5703125" style="2" customWidth="1"/>
    <col min="15882" max="15882" width="7.5703125" style="2" customWidth="1"/>
    <col min="15883" max="15883" width="13.140625" style="2" bestFit="1" customWidth="1"/>
    <col min="15884" max="15885" width="7" style="2" customWidth="1"/>
    <col min="15886" max="15886" width="11.140625" style="2" customWidth="1"/>
    <col min="15887" max="15887" width="12.5703125" style="2" bestFit="1" customWidth="1"/>
    <col min="15888" max="15888" width="10.42578125" style="2" customWidth="1"/>
    <col min="15889" max="15889" width="7.42578125" style="2" customWidth="1"/>
    <col min="15890" max="15890" width="15.85546875" style="2" bestFit="1" customWidth="1"/>
    <col min="15891" max="15891" width="5.85546875" style="2" customWidth="1"/>
    <col min="15892" max="15898" width="0" style="2" hidden="1" customWidth="1"/>
    <col min="15899" max="16128" width="9" style="2"/>
    <col min="16129" max="16129" width="5" style="2" bestFit="1" customWidth="1"/>
    <col min="16130" max="16130" width="22.85546875" style="2" customWidth="1"/>
    <col min="16131" max="16131" width="15.42578125" style="2" customWidth="1"/>
    <col min="16132" max="16132" width="14.5703125" style="2" customWidth="1"/>
    <col min="16133" max="16133" width="11.28515625" style="2" customWidth="1"/>
    <col min="16134" max="16134" width="5.85546875" style="2" customWidth="1"/>
    <col min="16135" max="16135" width="11.85546875" style="2" bestFit="1" customWidth="1"/>
    <col min="16136" max="16136" width="10.42578125" style="2" customWidth="1"/>
    <col min="16137" max="16137" width="5.5703125" style="2" customWidth="1"/>
    <col min="16138" max="16138" width="7.5703125" style="2" customWidth="1"/>
    <col min="16139" max="16139" width="13.140625" style="2" bestFit="1" customWidth="1"/>
    <col min="16140" max="16141" width="7" style="2" customWidth="1"/>
    <col min="16142" max="16142" width="11.140625" style="2" customWidth="1"/>
    <col min="16143" max="16143" width="12.5703125" style="2" bestFit="1" customWidth="1"/>
    <col min="16144" max="16144" width="10.42578125" style="2" customWidth="1"/>
    <col min="16145" max="16145" width="7.42578125" style="2" customWidth="1"/>
    <col min="16146" max="16146" width="15.85546875" style="2" bestFit="1" customWidth="1"/>
    <col min="16147" max="16147" width="5.85546875" style="2" customWidth="1"/>
    <col min="16148" max="16154" width="0" style="2" hidden="1" customWidth="1"/>
    <col min="16155" max="16384" width="9" style="2"/>
  </cols>
  <sheetData>
    <row r="1" spans="1:27" x14ac:dyDescent="0.2">
      <c r="A1" s="1" t="s">
        <v>0</v>
      </c>
      <c r="B1" s="2"/>
      <c r="C1" s="2"/>
      <c r="J1" s="147" t="s">
        <v>1</v>
      </c>
      <c r="K1" s="147"/>
      <c r="L1" s="147"/>
      <c r="M1" s="147"/>
      <c r="N1" s="147"/>
      <c r="O1" s="147"/>
      <c r="P1" s="147"/>
      <c r="Q1" s="147"/>
      <c r="R1" s="147"/>
      <c r="S1" s="147"/>
    </row>
    <row r="2" spans="1:27" x14ac:dyDescent="0.2">
      <c r="A2" s="3"/>
      <c r="B2" s="4"/>
      <c r="C2" s="4"/>
      <c r="D2" s="5"/>
      <c r="E2" s="4"/>
    </row>
    <row r="3" spans="1:27" ht="23.45" customHeight="1" x14ac:dyDescent="0.2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</row>
    <row r="4" spans="1:27" ht="12.6" customHeight="1" x14ac:dyDescent="0.2">
      <c r="A4" s="155" t="s">
        <v>55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</row>
    <row r="5" spans="1:27" s="8" customFormat="1" hidden="1" x14ac:dyDescent="0.2">
      <c r="A5" s="6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7"/>
      <c r="Q5" s="23"/>
      <c r="R5" s="23"/>
      <c r="S5" s="23"/>
    </row>
    <row r="6" spans="1:27" s="8" customFormat="1" x14ac:dyDescent="0.2">
      <c r="A6" s="6"/>
      <c r="B6" s="23"/>
      <c r="C6" s="23"/>
      <c r="D6" s="23"/>
      <c r="E6" s="23"/>
      <c r="F6" s="45">
        <f>F7+J7+N7+Q6</f>
        <v>1.000002796157081</v>
      </c>
      <c r="G6" s="23"/>
      <c r="H6" s="23"/>
      <c r="I6" s="23"/>
      <c r="J6" s="23"/>
      <c r="K6" s="23"/>
      <c r="L6" s="23"/>
      <c r="M6" s="23"/>
      <c r="N6" s="23"/>
      <c r="O6" s="45"/>
      <c r="P6" s="7"/>
      <c r="Q6" s="44">
        <f>Q7/C13</f>
        <v>0.16188376039771374</v>
      </c>
      <c r="R6" s="23"/>
      <c r="S6" s="23"/>
    </row>
    <row r="7" spans="1:27" s="19" customFormat="1" ht="16.5" customHeight="1" x14ac:dyDescent="0.2">
      <c r="A7" s="6"/>
      <c r="B7" s="46"/>
      <c r="C7" s="47">
        <v>1000000000</v>
      </c>
      <c r="D7" s="48"/>
      <c r="E7" s="42">
        <f>SUM(D13:H13)</f>
        <v>33045.692174339623</v>
      </c>
      <c r="F7" s="49">
        <f>E7/C13</f>
        <v>0.56713166468462495</v>
      </c>
      <c r="G7" s="48"/>
      <c r="H7" s="4"/>
      <c r="I7" s="43">
        <f>I13+J13</f>
        <v>165.32152599099999</v>
      </c>
      <c r="J7" s="49">
        <f>I7/C13</f>
        <v>2.8372555112125431E-3</v>
      </c>
      <c r="K7" s="5"/>
      <c r="L7" s="48"/>
      <c r="M7" s="43">
        <f>SUM(K13:O13)</f>
        <v>15624.601353115442</v>
      </c>
      <c r="N7" s="49">
        <f>M7/C13</f>
        <v>0.26815011556352986</v>
      </c>
      <c r="O7" s="4"/>
      <c r="P7" s="5"/>
      <c r="Q7" s="42">
        <f>SUM(P13:R13)</f>
        <v>9432.6613152560021</v>
      </c>
      <c r="R7" s="50" t="s">
        <v>3</v>
      </c>
      <c r="S7" s="50"/>
    </row>
    <row r="8" spans="1:27" s="8" customFormat="1" ht="19.5" customHeight="1" x14ac:dyDescent="0.2">
      <c r="A8" s="154" t="s">
        <v>4</v>
      </c>
      <c r="B8" s="138" t="s">
        <v>5</v>
      </c>
      <c r="C8" s="138" t="s">
        <v>6</v>
      </c>
      <c r="D8" s="138" t="s">
        <v>7</v>
      </c>
      <c r="E8" s="138"/>
      <c r="F8" s="138"/>
      <c r="G8" s="138"/>
      <c r="H8" s="138"/>
      <c r="I8" s="138" t="s">
        <v>8</v>
      </c>
      <c r="J8" s="138"/>
      <c r="K8" s="138" t="s">
        <v>9</v>
      </c>
      <c r="L8" s="138"/>
      <c r="M8" s="138"/>
      <c r="N8" s="138"/>
      <c r="O8" s="138"/>
      <c r="P8" s="138" t="s">
        <v>10</v>
      </c>
      <c r="Q8" s="138"/>
      <c r="R8" s="138"/>
      <c r="S8" s="138" t="s">
        <v>11</v>
      </c>
    </row>
    <row r="9" spans="1:27" s="8" customFormat="1" ht="87.75" customHeight="1" x14ac:dyDescent="0.2">
      <c r="A9" s="154"/>
      <c r="B9" s="138"/>
      <c r="C9" s="138"/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4" t="s">
        <v>17</v>
      </c>
      <c r="J9" s="14" t="s">
        <v>18</v>
      </c>
      <c r="K9" s="14" t="s">
        <v>19</v>
      </c>
      <c r="L9" s="14" t="s">
        <v>20</v>
      </c>
      <c r="M9" s="14" t="s">
        <v>21</v>
      </c>
      <c r="N9" s="14" t="s">
        <v>22</v>
      </c>
      <c r="O9" s="14" t="s">
        <v>23</v>
      </c>
      <c r="P9" s="14" t="s">
        <v>24</v>
      </c>
      <c r="Q9" s="14" t="s">
        <v>25</v>
      </c>
      <c r="R9" s="15" t="s">
        <v>10</v>
      </c>
      <c r="S9" s="138"/>
    </row>
    <row r="10" spans="1:27" s="8" customFormat="1" ht="13.5" customHeight="1" x14ac:dyDescent="0.2">
      <c r="A10" s="24"/>
      <c r="B10" s="38"/>
      <c r="C10" s="38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5"/>
      <c r="S10" s="38"/>
    </row>
    <row r="11" spans="1:27" s="8" customFormat="1" x14ac:dyDescent="0.2">
      <c r="A11" s="24" t="s">
        <v>26</v>
      </c>
      <c r="B11" s="16" t="s">
        <v>27</v>
      </c>
      <c r="C11" s="16" t="s">
        <v>28</v>
      </c>
      <c r="D11" s="14">
        <v>2</v>
      </c>
      <c r="E11" s="17">
        <v>3</v>
      </c>
      <c r="F11" s="14">
        <v>4</v>
      </c>
      <c r="G11" s="14">
        <v>5</v>
      </c>
      <c r="H11" s="14">
        <v>6</v>
      </c>
      <c r="I11" s="14">
        <v>7</v>
      </c>
      <c r="J11" s="14">
        <v>8</v>
      </c>
      <c r="K11" s="14">
        <v>9</v>
      </c>
      <c r="L11" s="14">
        <v>10</v>
      </c>
      <c r="M11" s="14">
        <v>11</v>
      </c>
      <c r="N11" s="14">
        <v>12</v>
      </c>
      <c r="O11" s="14">
        <v>13</v>
      </c>
      <c r="P11" s="14">
        <v>14</v>
      </c>
      <c r="Q11" s="14">
        <v>15</v>
      </c>
      <c r="R11" s="14">
        <v>16</v>
      </c>
      <c r="S11" s="14">
        <v>17</v>
      </c>
    </row>
    <row r="12" spans="1:27" s="8" customFormat="1" x14ac:dyDescent="0.2">
      <c r="A12" s="24"/>
      <c r="B12" s="16"/>
      <c r="C12" s="16"/>
      <c r="D12" s="51">
        <f>D13/C13</f>
        <v>0.40317744497209085</v>
      </c>
      <c r="E12" s="52">
        <f>E13/C13</f>
        <v>7.7041214411271111E-2</v>
      </c>
      <c r="F12" s="51">
        <f>F13/C13</f>
        <v>2.3072054226989727E-2</v>
      </c>
      <c r="G12" s="51">
        <f>G13/C13</f>
        <v>4.9885881998568013E-2</v>
      </c>
      <c r="H12" s="51">
        <f>H13/C13</f>
        <v>1.3955069075705092E-2</v>
      </c>
      <c r="I12" s="57">
        <f>I13/C13</f>
        <v>1.9189075836731996E-4</v>
      </c>
      <c r="J12" s="51">
        <f>J13/C13</f>
        <v>2.6453647528452231E-3</v>
      </c>
      <c r="K12" s="51">
        <f>K13/C13</f>
        <v>0.16150124951384545</v>
      </c>
      <c r="L12" s="51">
        <f>L13/C13</f>
        <v>9.0467520696646455E-3</v>
      </c>
      <c r="M12" s="51">
        <f>M13/C13</f>
        <v>2.7475468560076242E-2</v>
      </c>
      <c r="N12" s="51">
        <f>N13/C13</f>
        <v>2.5208842383502444E-2</v>
      </c>
      <c r="O12" s="51">
        <f>O13/C13</f>
        <v>4.4917803036441058E-2</v>
      </c>
      <c r="P12" s="51">
        <f>P13/C13</f>
        <v>1.0997434827522022E-3</v>
      </c>
      <c r="Q12" s="51">
        <f>Q13/C13</f>
        <v>4.9920865560032224E-3</v>
      </c>
      <c r="R12" s="51">
        <f>R13/C13</f>
        <v>0.15579193035895833</v>
      </c>
      <c r="S12" s="14"/>
      <c r="AA12" s="58">
        <f>Q12+R12</f>
        <v>0.16078401691496155</v>
      </c>
    </row>
    <row r="13" spans="1:27" s="56" customFormat="1" x14ac:dyDescent="0.2">
      <c r="A13" s="53"/>
      <c r="B13" s="54"/>
      <c r="C13" s="42">
        <f>SUM(C14:C37)</f>
        <v>58268.113441904068</v>
      </c>
      <c r="D13" s="42">
        <f>SUM(D14:D37)</f>
        <v>23492.389100850825</v>
      </c>
      <c r="E13" s="42">
        <f t="shared" ref="E13:R13" si="0">SUM(E14:E37)</f>
        <v>4489.0462210179994</v>
      </c>
      <c r="F13" s="42">
        <f t="shared" si="0"/>
        <v>1344.3650730359998</v>
      </c>
      <c r="G13" s="42">
        <f t="shared" si="0"/>
        <v>2906.7562314420011</v>
      </c>
      <c r="H13" s="42">
        <f t="shared" si="0"/>
        <v>813.13554799279166</v>
      </c>
      <c r="I13" s="42">
        <f t="shared" si="0"/>
        <v>11.181112477000001</v>
      </c>
      <c r="J13" s="42">
        <f t="shared" si="0"/>
        <v>154.14041351399999</v>
      </c>
      <c r="K13" s="42">
        <f t="shared" si="0"/>
        <v>9410.3731276820017</v>
      </c>
      <c r="L13" s="42">
        <f t="shared" si="0"/>
        <v>527.13717587600001</v>
      </c>
      <c r="M13" s="42">
        <f t="shared" si="0"/>
        <v>1600.9437189279911</v>
      </c>
      <c r="N13" s="42">
        <f t="shared" si="0"/>
        <v>1468.8716877409997</v>
      </c>
      <c r="O13" s="42">
        <f t="shared" si="0"/>
        <v>2617.2756428884504</v>
      </c>
      <c r="P13" s="42">
        <f t="shared" si="0"/>
        <v>64.079978009999991</v>
      </c>
      <c r="Q13" s="42">
        <f t="shared" si="0"/>
        <v>290.87946575699993</v>
      </c>
      <c r="R13" s="42">
        <f t="shared" si="0"/>
        <v>9077.7018714890019</v>
      </c>
      <c r="S13" s="55"/>
      <c r="AA13" s="56">
        <f>Q13+R13</f>
        <v>9368.5813372460016</v>
      </c>
    </row>
    <row r="14" spans="1:27" s="19" customFormat="1" x14ac:dyDescent="0.2">
      <c r="A14" s="28">
        <v>1</v>
      </c>
      <c r="B14" s="33" t="s">
        <v>31</v>
      </c>
      <c r="C14" s="25">
        <v>35.346142999999998</v>
      </c>
      <c r="D14" s="25">
        <v>33.537511000000002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1.808632</v>
      </c>
      <c r="S14" s="25">
        <v>0</v>
      </c>
    </row>
    <row r="15" spans="1:27" s="8" customFormat="1" x14ac:dyDescent="0.2">
      <c r="A15" s="28">
        <v>2</v>
      </c>
      <c r="B15" s="33" t="s">
        <v>30</v>
      </c>
      <c r="C15" s="25">
        <v>30.703734195999999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3.1697999999999997E-2</v>
      </c>
      <c r="N15" s="25">
        <v>0</v>
      </c>
      <c r="O15" s="25">
        <v>0</v>
      </c>
      <c r="P15" s="25">
        <v>0</v>
      </c>
      <c r="Q15" s="25">
        <v>0</v>
      </c>
      <c r="R15" s="25">
        <v>30.672036196000001</v>
      </c>
      <c r="S15" s="25">
        <v>0</v>
      </c>
    </row>
    <row r="16" spans="1:27" s="22" customFormat="1" x14ac:dyDescent="0.2">
      <c r="A16" s="28">
        <v>3</v>
      </c>
      <c r="B16" s="31" t="s">
        <v>32</v>
      </c>
      <c r="C16" s="25">
        <v>0.28699999999999998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0.28699999999999998</v>
      </c>
      <c r="S16" s="25">
        <v>0</v>
      </c>
    </row>
    <row r="17" spans="1:22" s="22" customFormat="1" x14ac:dyDescent="0.2">
      <c r="A17" s="28">
        <v>4</v>
      </c>
      <c r="B17" s="31" t="s">
        <v>33</v>
      </c>
      <c r="C17" s="25">
        <v>920.37268472999995</v>
      </c>
      <c r="D17" s="25">
        <v>97.092695676999995</v>
      </c>
      <c r="E17" s="25">
        <v>197.21530598499999</v>
      </c>
      <c r="F17" s="25">
        <v>0</v>
      </c>
      <c r="G17" s="25">
        <v>55.379961782999999</v>
      </c>
      <c r="H17" s="25">
        <v>17.851887957999999</v>
      </c>
      <c r="I17" s="25">
        <v>0</v>
      </c>
      <c r="J17" s="25">
        <v>0</v>
      </c>
      <c r="K17" s="25">
        <v>313.304642968</v>
      </c>
      <c r="L17" s="25">
        <v>0</v>
      </c>
      <c r="M17" s="25">
        <v>10.012218651</v>
      </c>
      <c r="N17" s="25">
        <v>137.90344109899999</v>
      </c>
      <c r="O17" s="25">
        <v>0</v>
      </c>
      <c r="P17" s="25">
        <v>0</v>
      </c>
      <c r="Q17" s="25">
        <v>0</v>
      </c>
      <c r="R17" s="25">
        <v>91.781457411000005</v>
      </c>
      <c r="S17" s="25">
        <v>0</v>
      </c>
    </row>
    <row r="18" spans="1:22" s="22" customFormat="1" x14ac:dyDescent="0.2">
      <c r="A18" s="28">
        <v>5</v>
      </c>
      <c r="B18" s="31" t="s">
        <v>35</v>
      </c>
      <c r="C18" s="25">
        <v>760.69707947416066</v>
      </c>
      <c r="D18" s="25">
        <v>124.36847735616948</v>
      </c>
      <c r="E18" s="25">
        <v>564.20968109299997</v>
      </c>
      <c r="F18" s="25">
        <v>0</v>
      </c>
      <c r="G18" s="25">
        <v>9.1821769490000005</v>
      </c>
      <c r="H18" s="25">
        <v>33.781059999999997</v>
      </c>
      <c r="I18" s="25">
        <v>0</v>
      </c>
      <c r="J18" s="25">
        <v>0</v>
      </c>
      <c r="K18" s="25">
        <v>0</v>
      </c>
      <c r="L18" s="25">
        <v>0</v>
      </c>
      <c r="M18" s="25">
        <v>0.79546715999104789</v>
      </c>
      <c r="N18" s="25">
        <v>0</v>
      </c>
      <c r="O18" s="25">
        <v>8.9686590000000006</v>
      </c>
      <c r="P18" s="25">
        <v>0</v>
      </c>
      <c r="Q18" s="25">
        <v>1.0282251859999998</v>
      </c>
      <c r="R18" s="25">
        <v>18.36333273</v>
      </c>
      <c r="S18" s="25">
        <v>0</v>
      </c>
    </row>
    <row r="19" spans="1:22" s="22" customFormat="1" x14ac:dyDescent="0.2">
      <c r="A19" s="28">
        <v>6</v>
      </c>
      <c r="B19" s="31" t="s">
        <v>36</v>
      </c>
      <c r="C19" s="25">
        <v>3537.5757086829999</v>
      </c>
      <c r="D19" s="25">
        <v>78.721095094000006</v>
      </c>
      <c r="E19" s="25">
        <v>3084.5786029649998</v>
      </c>
      <c r="F19" s="25">
        <v>0</v>
      </c>
      <c r="G19" s="25">
        <v>0</v>
      </c>
      <c r="H19" s="25">
        <v>5.4172784000000002E-2</v>
      </c>
      <c r="I19" s="25">
        <v>0</v>
      </c>
      <c r="J19" s="25">
        <v>0</v>
      </c>
      <c r="K19" s="25">
        <v>5.1151879999999998</v>
      </c>
      <c r="L19" s="25">
        <v>0</v>
      </c>
      <c r="M19" s="25">
        <v>0.49208673800000002</v>
      </c>
      <c r="N19" s="25">
        <v>0</v>
      </c>
      <c r="O19" s="25">
        <v>34.795832836000002</v>
      </c>
      <c r="P19" s="25">
        <v>0</v>
      </c>
      <c r="Q19" s="25">
        <v>110.959474887</v>
      </c>
      <c r="R19" s="25">
        <v>222.85925537899999</v>
      </c>
      <c r="S19" s="25">
        <v>0</v>
      </c>
    </row>
    <row r="20" spans="1:22" s="22" customFormat="1" x14ac:dyDescent="0.2">
      <c r="A20" s="28">
        <v>7</v>
      </c>
      <c r="B20" s="31" t="s">
        <v>37</v>
      </c>
      <c r="C20" s="25">
        <v>657.92753789885535</v>
      </c>
      <c r="D20" s="25">
        <v>533.0227529948553</v>
      </c>
      <c r="E20" s="25">
        <v>6.2501695760000002</v>
      </c>
      <c r="F20" s="25">
        <v>0</v>
      </c>
      <c r="G20" s="25">
        <v>3.6566024469999996</v>
      </c>
      <c r="H20" s="25">
        <v>85.972951508999984</v>
      </c>
      <c r="I20" s="25">
        <v>0</v>
      </c>
      <c r="J20" s="25">
        <v>0</v>
      </c>
      <c r="K20" s="25">
        <v>16.964688638999998</v>
      </c>
      <c r="L20" s="25">
        <v>0</v>
      </c>
      <c r="M20" s="25">
        <v>7.7031287310000014</v>
      </c>
      <c r="N20" s="25">
        <v>0.105339</v>
      </c>
      <c r="O20" s="25">
        <v>4.2519050019999991</v>
      </c>
      <c r="P20" s="25">
        <v>0</v>
      </c>
      <c r="Q20" s="25">
        <v>0</v>
      </c>
      <c r="R20" s="25">
        <v>0</v>
      </c>
      <c r="S20" s="25">
        <v>0</v>
      </c>
    </row>
    <row r="21" spans="1:22" s="22" customFormat="1" x14ac:dyDescent="0.2">
      <c r="A21" s="28">
        <v>8</v>
      </c>
      <c r="B21" s="31" t="s">
        <v>38</v>
      </c>
      <c r="C21" s="25">
        <v>6662.3243372030001</v>
      </c>
      <c r="D21" s="25">
        <v>282.13950668799998</v>
      </c>
      <c r="E21" s="25">
        <v>0.114789</v>
      </c>
      <c r="F21" s="25">
        <v>1.1921595780000001</v>
      </c>
      <c r="G21" s="25">
        <v>343.16542254799998</v>
      </c>
      <c r="H21" s="25">
        <v>12.428786448</v>
      </c>
      <c r="I21" s="25">
        <v>1.8940000000000001E-3</v>
      </c>
      <c r="J21" s="25">
        <v>40.733331999999997</v>
      </c>
      <c r="K21" s="25">
        <v>1089.3967251429999</v>
      </c>
      <c r="L21" s="25">
        <v>57.517363000000003</v>
      </c>
      <c r="M21" s="25">
        <v>448.75236313900001</v>
      </c>
      <c r="N21" s="25">
        <v>44.810406866000001</v>
      </c>
      <c r="O21" s="25">
        <v>1605.788705336</v>
      </c>
      <c r="P21" s="25">
        <v>30.90061</v>
      </c>
      <c r="Q21" s="25">
        <v>25.459512059000001</v>
      </c>
      <c r="R21" s="25">
        <v>2679.9227613980001</v>
      </c>
      <c r="S21" s="25">
        <v>0</v>
      </c>
    </row>
    <row r="22" spans="1:22" s="22" customFormat="1" x14ac:dyDescent="0.2">
      <c r="A22" s="28">
        <v>9</v>
      </c>
      <c r="B22" s="31" t="s">
        <v>39</v>
      </c>
      <c r="C22" s="25">
        <v>7501.6926698269999</v>
      </c>
      <c r="D22" s="25">
        <v>39.116536103000001</v>
      </c>
      <c r="E22" s="25">
        <v>92.055262580000004</v>
      </c>
      <c r="F22" s="25">
        <v>1109.4304314220001</v>
      </c>
      <c r="G22" s="25">
        <v>2086.3414640030001</v>
      </c>
      <c r="H22" s="25">
        <v>38.961034189000003</v>
      </c>
      <c r="I22" s="25">
        <v>0</v>
      </c>
      <c r="J22" s="25">
        <v>0</v>
      </c>
      <c r="K22" s="25">
        <v>2730.43821084</v>
      </c>
      <c r="L22" s="25">
        <v>0</v>
      </c>
      <c r="M22" s="25">
        <v>962.09735906000003</v>
      </c>
      <c r="N22" s="25">
        <v>54.519997019000002</v>
      </c>
      <c r="O22" s="25">
        <v>10.351059104000001</v>
      </c>
      <c r="P22" s="25">
        <v>0</v>
      </c>
      <c r="Q22" s="25">
        <v>46.132034195999999</v>
      </c>
      <c r="R22" s="25">
        <v>332.249281311</v>
      </c>
      <c r="S22" s="25">
        <v>0</v>
      </c>
    </row>
    <row r="23" spans="1:22" s="19" customFormat="1" x14ac:dyDescent="0.2">
      <c r="A23" s="28">
        <v>10</v>
      </c>
      <c r="B23" s="31" t="s">
        <v>40</v>
      </c>
      <c r="C23" s="25">
        <v>267.98585660299995</v>
      </c>
      <c r="D23" s="25">
        <v>1.4463887510000004</v>
      </c>
      <c r="E23" s="25">
        <v>0</v>
      </c>
      <c r="F23" s="25">
        <v>0</v>
      </c>
      <c r="G23" s="25">
        <v>2.6700924640000001</v>
      </c>
      <c r="H23" s="25">
        <v>2.9127790999999889E-2</v>
      </c>
      <c r="I23" s="25">
        <v>0</v>
      </c>
      <c r="J23" s="25">
        <v>0</v>
      </c>
      <c r="K23" s="25">
        <v>0</v>
      </c>
      <c r="L23" s="25">
        <v>0</v>
      </c>
      <c r="M23" s="25">
        <v>12.580015381000001</v>
      </c>
      <c r="N23" s="25">
        <v>0</v>
      </c>
      <c r="O23" s="25">
        <v>0</v>
      </c>
      <c r="P23" s="25">
        <v>0</v>
      </c>
      <c r="Q23" s="25">
        <v>0</v>
      </c>
      <c r="R23" s="25">
        <v>251.26023221200001</v>
      </c>
      <c r="S23" s="25">
        <v>0</v>
      </c>
    </row>
    <row r="24" spans="1:22" s="8" customFormat="1" x14ac:dyDescent="0.2">
      <c r="A24" s="28">
        <v>11</v>
      </c>
      <c r="B24" s="31" t="s">
        <v>41</v>
      </c>
      <c r="C24" s="25">
        <v>2552.3161202350002</v>
      </c>
      <c r="D24" s="25">
        <v>2437.291840243</v>
      </c>
      <c r="E24" s="25">
        <v>2.7299244200000001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101.251939269</v>
      </c>
      <c r="L24" s="25">
        <v>0</v>
      </c>
      <c r="M24" s="25">
        <v>0</v>
      </c>
      <c r="N24" s="25">
        <v>0.19032452599999999</v>
      </c>
      <c r="O24" s="25">
        <v>0</v>
      </c>
      <c r="P24" s="25">
        <v>0</v>
      </c>
      <c r="Q24" s="25">
        <v>0</v>
      </c>
      <c r="R24" s="25">
        <v>10.852091777</v>
      </c>
      <c r="S24" s="25">
        <v>0</v>
      </c>
    </row>
    <row r="25" spans="1:22" x14ac:dyDescent="0.2">
      <c r="A25" s="28">
        <v>12</v>
      </c>
      <c r="B25" s="31" t="s">
        <v>42</v>
      </c>
      <c r="C25" s="25">
        <v>10631.670387227843</v>
      </c>
      <c r="D25" s="25">
        <v>7012.0221678122016</v>
      </c>
      <c r="E25" s="25">
        <v>135.04361443199997</v>
      </c>
      <c r="F25" s="25">
        <v>37.905234080000007</v>
      </c>
      <c r="G25" s="25">
        <v>17.795606208999999</v>
      </c>
      <c r="H25" s="25">
        <v>126.15437236819164</v>
      </c>
      <c r="I25" s="25">
        <v>0</v>
      </c>
      <c r="J25" s="25">
        <v>0.50339999999999996</v>
      </c>
      <c r="K25" s="25">
        <v>325.23190957200001</v>
      </c>
      <c r="L25" s="25">
        <v>72.211486382000004</v>
      </c>
      <c r="M25" s="25">
        <v>9.1173040069999995</v>
      </c>
      <c r="N25" s="25">
        <v>719.08413031999987</v>
      </c>
      <c r="O25" s="25">
        <v>947.58862880444985</v>
      </c>
      <c r="P25" s="25">
        <v>0</v>
      </c>
      <c r="Q25" s="25">
        <v>0.71198863599999995</v>
      </c>
      <c r="R25" s="25">
        <v>1228.2945446050001</v>
      </c>
      <c r="S25" s="25">
        <v>0</v>
      </c>
    </row>
    <row r="26" spans="1:22" x14ac:dyDescent="0.2">
      <c r="A26" s="28">
        <v>13</v>
      </c>
      <c r="B26" s="31" t="s">
        <v>43</v>
      </c>
      <c r="C26" s="25">
        <v>465.98203634399999</v>
      </c>
      <c r="D26" s="25">
        <v>344.91784024600003</v>
      </c>
      <c r="E26" s="25">
        <v>36.959168400000003</v>
      </c>
      <c r="F26" s="25">
        <v>9.3260983740000007</v>
      </c>
      <c r="G26" s="25">
        <v>2.3991252350000001</v>
      </c>
      <c r="H26" s="25">
        <v>3.2025611770000002</v>
      </c>
      <c r="I26" s="25">
        <v>0</v>
      </c>
      <c r="J26" s="25">
        <v>9.7469999999999999</v>
      </c>
      <c r="K26" s="25">
        <v>10.209679</v>
      </c>
      <c r="L26" s="25">
        <v>0</v>
      </c>
      <c r="M26" s="25">
        <v>21.629241136000001</v>
      </c>
      <c r="N26" s="25">
        <v>14.739888206</v>
      </c>
      <c r="O26" s="25">
        <v>4.5893000000000003E-2</v>
      </c>
      <c r="P26" s="25">
        <v>0</v>
      </c>
      <c r="Q26" s="25">
        <v>1.16293753</v>
      </c>
      <c r="R26" s="25">
        <v>11.64260404</v>
      </c>
      <c r="S26" s="25">
        <v>0</v>
      </c>
    </row>
    <row r="27" spans="1:22" x14ac:dyDescent="0.2">
      <c r="A27" s="28">
        <v>14</v>
      </c>
      <c r="B27" s="31" t="s">
        <v>44</v>
      </c>
      <c r="C27" s="25">
        <v>845.82450375199892</v>
      </c>
      <c r="D27" s="25">
        <v>443.93249725699906</v>
      </c>
      <c r="E27" s="25">
        <v>39.165985493000001</v>
      </c>
      <c r="F27" s="25">
        <v>24.243012422000003</v>
      </c>
      <c r="G27" s="25">
        <v>48.624160715000002</v>
      </c>
      <c r="H27" s="25">
        <v>7.4273569999999989</v>
      </c>
      <c r="I27" s="25">
        <v>0</v>
      </c>
      <c r="J27" s="25">
        <v>1.5240259999999993E-3</v>
      </c>
      <c r="K27" s="25">
        <v>271.71386867199999</v>
      </c>
      <c r="L27" s="25">
        <v>0</v>
      </c>
      <c r="M27" s="25">
        <v>2.938150963</v>
      </c>
      <c r="N27" s="25">
        <v>0</v>
      </c>
      <c r="O27" s="25">
        <v>0</v>
      </c>
      <c r="P27" s="25">
        <v>0</v>
      </c>
      <c r="Q27" s="25">
        <v>0</v>
      </c>
      <c r="R27" s="25">
        <v>7.7779472040000002</v>
      </c>
      <c r="S27" s="25">
        <v>0</v>
      </c>
    </row>
    <row r="28" spans="1:22" x14ac:dyDescent="0.2">
      <c r="A28" s="28">
        <v>15</v>
      </c>
      <c r="B28" s="31" t="s">
        <v>45</v>
      </c>
      <c r="C28" s="25">
        <v>11184.657126670005</v>
      </c>
      <c r="D28" s="25">
        <v>4422.1208441850004</v>
      </c>
      <c r="E28" s="25">
        <v>30.637891393000004</v>
      </c>
      <c r="F28" s="25">
        <v>65.849629015000005</v>
      </c>
      <c r="G28" s="25">
        <v>82.473077603999997</v>
      </c>
      <c r="H28" s="25">
        <v>31.242773872999997</v>
      </c>
      <c r="I28" s="25">
        <v>0</v>
      </c>
      <c r="J28" s="25">
        <v>37.18617545</v>
      </c>
      <c r="K28" s="25">
        <v>3529.7358880570005</v>
      </c>
      <c r="L28" s="25">
        <v>51.493805531000007</v>
      </c>
      <c r="M28" s="25">
        <v>38.840087206999989</v>
      </c>
      <c r="N28" s="25">
        <v>163.70911734900002</v>
      </c>
      <c r="O28" s="25">
        <v>0.25721899999999998</v>
      </c>
      <c r="P28" s="25">
        <v>0</v>
      </c>
      <c r="Q28" s="25">
        <v>105.37087206299998</v>
      </c>
      <c r="R28" s="25">
        <v>2625.7397459430008</v>
      </c>
      <c r="S28" s="25">
        <v>0</v>
      </c>
    </row>
    <row r="29" spans="1:22" x14ac:dyDescent="0.2">
      <c r="A29" s="28">
        <v>16</v>
      </c>
      <c r="B29" s="31" t="s">
        <v>46</v>
      </c>
      <c r="C29" s="25">
        <v>426.24092101700001</v>
      </c>
      <c r="D29" s="25">
        <v>327.47712833700001</v>
      </c>
      <c r="E29" s="25">
        <v>10.051362857000001</v>
      </c>
      <c r="F29" s="25">
        <v>15.556404483</v>
      </c>
      <c r="G29" s="25">
        <v>8.5700548239999996</v>
      </c>
      <c r="H29" s="25">
        <v>29.167806560999999</v>
      </c>
      <c r="I29" s="25">
        <v>0</v>
      </c>
      <c r="J29" s="25">
        <v>0</v>
      </c>
      <c r="K29" s="25">
        <v>23.499781520999999</v>
      </c>
      <c r="L29" s="25">
        <v>0</v>
      </c>
      <c r="M29" s="25">
        <v>3.9505121540000001</v>
      </c>
      <c r="N29" s="25">
        <v>4.902847371</v>
      </c>
      <c r="O29" s="25">
        <v>1.379575759</v>
      </c>
      <c r="P29" s="25">
        <v>0</v>
      </c>
      <c r="Q29" s="25">
        <v>0</v>
      </c>
      <c r="R29" s="25">
        <v>1.6854471499999999</v>
      </c>
      <c r="S29" s="25">
        <v>0</v>
      </c>
    </row>
    <row r="30" spans="1:22" x14ac:dyDescent="0.2">
      <c r="A30" s="28">
        <v>17</v>
      </c>
      <c r="B30" s="31" t="s">
        <v>47</v>
      </c>
      <c r="C30" s="25">
        <v>1124.2160001601999</v>
      </c>
      <c r="D30" s="25">
        <v>566.45468383159994</v>
      </c>
      <c r="E30" s="25">
        <v>7.6693936589999998</v>
      </c>
      <c r="F30" s="25">
        <v>3.9886334109999999</v>
      </c>
      <c r="G30" s="25">
        <v>126.23157862799999</v>
      </c>
      <c r="H30" s="25">
        <v>15.599802927600001</v>
      </c>
      <c r="I30" s="25">
        <v>0</v>
      </c>
      <c r="J30" s="25">
        <v>7.1486894999999997</v>
      </c>
      <c r="K30" s="25">
        <v>15.0043363</v>
      </c>
      <c r="L30" s="25">
        <v>0</v>
      </c>
      <c r="M30" s="25">
        <v>0.52525029700000003</v>
      </c>
      <c r="N30" s="25">
        <v>34.647181947</v>
      </c>
      <c r="O30" s="25">
        <v>0</v>
      </c>
      <c r="P30" s="25">
        <v>0</v>
      </c>
      <c r="Q30" s="25">
        <v>0</v>
      </c>
      <c r="R30" s="25">
        <v>346.946449659</v>
      </c>
      <c r="S30" s="25">
        <v>0</v>
      </c>
    </row>
    <row r="31" spans="1:22" x14ac:dyDescent="0.2">
      <c r="A31" s="28">
        <v>18</v>
      </c>
      <c r="B31" s="31" t="s">
        <v>48</v>
      </c>
      <c r="C31" s="25">
        <v>1128.3751003980001</v>
      </c>
      <c r="D31" s="25">
        <v>445.61336646500001</v>
      </c>
      <c r="E31" s="25">
        <v>49.394658145000001</v>
      </c>
      <c r="F31" s="25">
        <v>14.710044443999999</v>
      </c>
      <c r="G31" s="25">
        <v>0</v>
      </c>
      <c r="H31" s="25">
        <v>60.273145520999996</v>
      </c>
      <c r="I31" s="25">
        <v>11.171420659000001</v>
      </c>
      <c r="J31" s="25">
        <v>0</v>
      </c>
      <c r="K31" s="25">
        <v>0</v>
      </c>
      <c r="L31" s="25">
        <v>242.304664823</v>
      </c>
      <c r="M31" s="25">
        <v>0</v>
      </c>
      <c r="N31" s="25">
        <v>6.2863734869999996</v>
      </c>
      <c r="O31" s="25">
        <v>0</v>
      </c>
      <c r="P31" s="25">
        <v>0</v>
      </c>
      <c r="Q31" s="25">
        <v>0</v>
      </c>
      <c r="R31" s="25">
        <v>298.62142685399999</v>
      </c>
      <c r="S31" s="25">
        <v>0</v>
      </c>
    </row>
    <row r="32" spans="1:22" x14ac:dyDescent="0.2">
      <c r="A32" s="28">
        <v>19</v>
      </c>
      <c r="B32" s="31" t="s">
        <v>49</v>
      </c>
      <c r="C32" s="25">
        <v>607.26248942799998</v>
      </c>
      <c r="D32" s="25">
        <v>531.50431366600003</v>
      </c>
      <c r="E32" s="25">
        <v>40.373910772999999</v>
      </c>
      <c r="F32" s="25">
        <v>0</v>
      </c>
      <c r="G32" s="25">
        <v>1.636890352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0.16859262699999999</v>
      </c>
      <c r="O32" s="25">
        <v>0.3458</v>
      </c>
      <c r="P32" s="25">
        <v>33.179368009999997</v>
      </c>
      <c r="Q32" s="25">
        <v>5.3614000000000002E-2</v>
      </c>
      <c r="R32" s="25">
        <v>0</v>
      </c>
      <c r="S32" s="25">
        <v>0</v>
      </c>
      <c r="T32" s="37"/>
      <c r="U32" s="37"/>
      <c r="V32" s="37"/>
    </row>
    <row r="33" spans="1:20" x14ac:dyDescent="0.2">
      <c r="A33" s="28">
        <v>20</v>
      </c>
      <c r="B33" s="31" t="s">
        <v>50</v>
      </c>
      <c r="C33" s="25">
        <v>2791.0539857260001</v>
      </c>
      <c r="D33" s="25">
        <v>1525.036800784</v>
      </c>
      <c r="E33" s="25">
        <v>154.16337529899999</v>
      </c>
      <c r="F33" s="25">
        <v>4.0719027499999996</v>
      </c>
      <c r="G33" s="25">
        <v>27.045008701</v>
      </c>
      <c r="H33" s="25">
        <v>131.649070435</v>
      </c>
      <c r="I33" s="25">
        <v>0</v>
      </c>
      <c r="J33" s="25">
        <v>0</v>
      </c>
      <c r="K33" s="25">
        <v>694.94254146900005</v>
      </c>
      <c r="L33" s="25">
        <v>1.4148829999999999</v>
      </c>
      <c r="M33" s="25">
        <v>43.327033401000001</v>
      </c>
      <c r="N33" s="25">
        <v>2.7519425640000001</v>
      </c>
      <c r="O33" s="25">
        <v>0</v>
      </c>
      <c r="P33" s="25">
        <v>0</v>
      </c>
      <c r="Q33" s="25">
        <v>0</v>
      </c>
      <c r="R33" s="25">
        <v>206.65142732300001</v>
      </c>
      <c r="S33" s="25">
        <v>0</v>
      </c>
      <c r="T33" s="37">
        <v>206651427323</v>
      </c>
    </row>
    <row r="34" spans="1:20" x14ac:dyDescent="0.2">
      <c r="A34" s="28">
        <v>21</v>
      </c>
      <c r="B34" s="31" t="s">
        <v>51</v>
      </c>
      <c r="C34" s="25">
        <v>904.29168809199996</v>
      </c>
      <c r="D34" s="25">
        <v>224.71679500600001</v>
      </c>
      <c r="E34" s="25">
        <v>3.7325927929999998</v>
      </c>
      <c r="F34" s="25">
        <v>16.587316226999999</v>
      </c>
      <c r="G34" s="25">
        <v>1.8369983830000001</v>
      </c>
      <c r="H34" s="25">
        <v>56.835021709000003</v>
      </c>
      <c r="I34" s="25">
        <v>0</v>
      </c>
      <c r="J34" s="25">
        <v>4.1784131909999997</v>
      </c>
      <c r="K34" s="25">
        <v>210.69030000000001</v>
      </c>
      <c r="L34" s="25">
        <v>16.043559139999999</v>
      </c>
      <c r="M34" s="25">
        <v>20.892727857000001</v>
      </c>
      <c r="N34" s="25">
        <v>7.8320063600000003</v>
      </c>
      <c r="O34" s="25">
        <v>3.2441439160000001</v>
      </c>
      <c r="P34" s="25">
        <v>0</v>
      </c>
      <c r="Q34" s="25">
        <v>0</v>
      </c>
      <c r="R34" s="25">
        <v>337.70181351000002</v>
      </c>
      <c r="S34" s="25">
        <v>0</v>
      </c>
    </row>
    <row r="35" spans="1:20" x14ac:dyDescent="0.2">
      <c r="A35" s="28">
        <v>22</v>
      </c>
      <c r="B35" s="31" t="s">
        <v>52</v>
      </c>
      <c r="C35" s="25">
        <v>790.53648259800002</v>
      </c>
      <c r="D35" s="25">
        <v>300.725331025</v>
      </c>
      <c r="E35" s="25">
        <v>4.9765379239999996</v>
      </c>
      <c r="F35" s="25">
        <v>2.853608199</v>
      </c>
      <c r="G35" s="25">
        <v>14.906240648000001</v>
      </c>
      <c r="H35" s="25">
        <v>88.503506244999997</v>
      </c>
      <c r="I35" s="25">
        <v>0</v>
      </c>
      <c r="J35" s="25">
        <v>0</v>
      </c>
      <c r="K35" s="25">
        <v>0</v>
      </c>
      <c r="L35" s="25">
        <v>0</v>
      </c>
      <c r="M35" s="25">
        <v>9.7372017700000004</v>
      </c>
      <c r="N35" s="25">
        <v>0</v>
      </c>
      <c r="O35" s="25">
        <v>0</v>
      </c>
      <c r="P35" s="25">
        <v>0</v>
      </c>
      <c r="Q35" s="25">
        <v>0</v>
      </c>
      <c r="R35" s="25">
        <v>368.83405678700001</v>
      </c>
      <c r="S35" s="25">
        <v>0</v>
      </c>
    </row>
    <row r="36" spans="1:20" x14ac:dyDescent="0.2">
      <c r="A36" s="28">
        <v>23</v>
      </c>
      <c r="B36" s="31" t="s">
        <v>53</v>
      </c>
      <c r="C36" s="25">
        <v>725.09095834499999</v>
      </c>
      <c r="D36" s="25">
        <v>213.55990927600001</v>
      </c>
      <c r="E36" s="25">
        <v>8.0564745379999998</v>
      </c>
      <c r="F36" s="25">
        <v>15.179255266</v>
      </c>
      <c r="G36" s="25">
        <v>37.689222481999998</v>
      </c>
      <c r="H36" s="25">
        <v>30.053597709999998</v>
      </c>
      <c r="I36" s="25">
        <v>0</v>
      </c>
      <c r="J36" s="25">
        <v>2.8944718730000001</v>
      </c>
      <c r="K36" s="25">
        <v>45.794381000000001</v>
      </c>
      <c r="L36" s="25">
        <v>86.151414000000003</v>
      </c>
      <c r="M36" s="25">
        <v>4.9409979999999996</v>
      </c>
      <c r="N36" s="25">
        <v>277.220099</v>
      </c>
      <c r="O36" s="25">
        <v>0</v>
      </c>
      <c r="P36" s="25">
        <v>0</v>
      </c>
      <c r="Q36" s="25">
        <v>8.072E-4</v>
      </c>
      <c r="R36" s="25">
        <v>3.5503279999999999</v>
      </c>
      <c r="S36" s="25">
        <v>0</v>
      </c>
    </row>
    <row r="37" spans="1:20" x14ac:dyDescent="0.2">
      <c r="A37" s="28">
        <v>24</v>
      </c>
      <c r="B37" s="31" t="s">
        <v>54</v>
      </c>
      <c r="C37" s="25">
        <v>3715.6828902960001</v>
      </c>
      <c r="D37" s="25">
        <v>3507.5706190529995</v>
      </c>
      <c r="E37" s="25">
        <v>21.667519692999999</v>
      </c>
      <c r="F37" s="25">
        <v>23.471343364999999</v>
      </c>
      <c r="G37" s="25">
        <v>37.152547466999998</v>
      </c>
      <c r="H37" s="25">
        <v>43.947511787000003</v>
      </c>
      <c r="I37" s="25">
        <v>7.7978179999999998E-3</v>
      </c>
      <c r="J37" s="25">
        <v>51.747407473999999</v>
      </c>
      <c r="K37" s="25">
        <v>27.079047232000001</v>
      </c>
      <c r="L37" s="25">
        <v>0</v>
      </c>
      <c r="M37" s="25">
        <v>2.580875276</v>
      </c>
      <c r="N37" s="25">
        <v>0</v>
      </c>
      <c r="O37" s="25">
        <v>0.25822113099999999</v>
      </c>
      <c r="P37" s="25">
        <v>0</v>
      </c>
      <c r="Q37" s="25">
        <v>0</v>
      </c>
      <c r="R37" s="25">
        <v>0.2</v>
      </c>
      <c r="S37" s="25">
        <v>0</v>
      </c>
    </row>
  </sheetData>
  <mergeCells count="11">
    <mergeCell ref="S8:S9"/>
    <mergeCell ref="J1:S1"/>
    <mergeCell ref="A3:S3"/>
    <mergeCell ref="A4:S4"/>
    <mergeCell ref="A8:A9"/>
    <mergeCell ref="B8:B9"/>
    <mergeCell ref="C8:C9"/>
    <mergeCell ref="D8:H8"/>
    <mergeCell ref="I8:J8"/>
    <mergeCell ref="K8:O8"/>
    <mergeCell ref="P8:R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7928A-3BCD-411F-8814-38B8C5DEDB12}">
  <dimension ref="A1:S89"/>
  <sheetViews>
    <sheetView zoomScale="70" zoomScaleNormal="70" workbookViewId="0">
      <selection activeCell="G39" sqref="G39:G40"/>
    </sheetView>
  </sheetViews>
  <sheetFormatPr defaultRowHeight="15" x14ac:dyDescent="0.25"/>
  <cols>
    <col min="1" max="1" width="5.85546875" customWidth="1"/>
    <col min="2" max="3" width="17.85546875" customWidth="1"/>
    <col min="4" max="4" width="17.28515625" customWidth="1"/>
    <col min="5" max="5" width="18.7109375" customWidth="1"/>
    <col min="6" max="8" width="17.85546875" customWidth="1"/>
    <col min="9" max="10" width="16.42578125" customWidth="1"/>
    <col min="11" max="17" width="17.85546875" customWidth="1"/>
    <col min="18" max="18" width="17.5703125" bestFit="1" customWidth="1"/>
    <col min="19" max="19" width="5.85546875" customWidth="1"/>
  </cols>
  <sheetData>
    <row r="1" spans="1:19" s="2" customFormat="1" ht="12" x14ac:dyDescent="0.2">
      <c r="A1" s="1" t="s">
        <v>0</v>
      </c>
      <c r="J1" s="147" t="s">
        <v>1</v>
      </c>
      <c r="K1" s="147"/>
      <c r="L1" s="147"/>
      <c r="M1" s="147"/>
      <c r="N1" s="147"/>
      <c r="O1" s="147"/>
      <c r="P1" s="147"/>
      <c r="Q1" s="147"/>
      <c r="R1" s="147"/>
      <c r="S1" s="147"/>
    </row>
    <row r="2" spans="1:19" s="2" customFormat="1" ht="12" x14ac:dyDescent="0.2">
      <c r="A2" s="3"/>
      <c r="B2" s="4"/>
      <c r="C2" s="4"/>
      <c r="D2" s="5"/>
      <c r="E2" s="4"/>
    </row>
    <row r="3" spans="1:19" s="2" customFormat="1" ht="23.45" customHeight="1" x14ac:dyDescent="0.2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</row>
    <row r="4" spans="1:19" s="2" customFormat="1" ht="12.6" customHeight="1" x14ac:dyDescent="0.2">
      <c r="A4" s="155" t="s">
        <v>34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</row>
    <row r="5" spans="1:19" s="8" customFormat="1" ht="12" hidden="1" x14ac:dyDescent="0.2">
      <c r="A5" s="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7"/>
      <c r="Q5" s="23"/>
      <c r="R5" s="23"/>
      <c r="S5" s="23"/>
    </row>
    <row r="6" spans="1:19" s="8" customFormat="1" ht="12" x14ac:dyDescent="0.2">
      <c r="A6" s="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7"/>
      <c r="Q6" s="23"/>
      <c r="R6" s="13" t="s">
        <v>3</v>
      </c>
      <c r="S6" s="23"/>
    </row>
    <row r="7" spans="1:19" x14ac:dyDescent="0.25">
      <c r="C7" s="59"/>
    </row>
    <row r="8" spans="1:19" x14ac:dyDescent="0.25">
      <c r="A8" s="154" t="s">
        <v>4</v>
      </c>
      <c r="B8" s="138" t="s">
        <v>5</v>
      </c>
      <c r="C8" s="138" t="s">
        <v>6</v>
      </c>
      <c r="D8" s="138" t="s">
        <v>7</v>
      </c>
      <c r="E8" s="138"/>
      <c r="F8" s="138"/>
      <c r="G8" s="138"/>
      <c r="H8" s="138"/>
      <c r="I8" s="138" t="s">
        <v>8</v>
      </c>
      <c r="J8" s="138"/>
      <c r="K8" s="138" t="s">
        <v>9</v>
      </c>
      <c r="L8" s="138"/>
      <c r="M8" s="138"/>
      <c r="N8" s="138"/>
      <c r="O8" s="138"/>
      <c r="P8" s="138" t="s">
        <v>10</v>
      </c>
      <c r="Q8" s="138"/>
      <c r="R8" s="138"/>
      <c r="S8" s="138" t="s">
        <v>11</v>
      </c>
    </row>
    <row r="9" spans="1:19" ht="60" x14ac:dyDescent="0.25">
      <c r="A9" s="154"/>
      <c r="B9" s="138"/>
      <c r="C9" s="138"/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4" t="s">
        <v>17</v>
      </c>
      <c r="J9" s="14" t="s">
        <v>18</v>
      </c>
      <c r="K9" s="14" t="s">
        <v>19</v>
      </c>
      <c r="L9" s="14" t="s">
        <v>20</v>
      </c>
      <c r="M9" s="14" t="s">
        <v>21</v>
      </c>
      <c r="N9" s="14" t="s">
        <v>22</v>
      </c>
      <c r="O9" s="14" t="s">
        <v>23</v>
      </c>
      <c r="P9" s="14" t="s">
        <v>24</v>
      </c>
      <c r="Q9" s="14" t="s">
        <v>25</v>
      </c>
      <c r="R9" s="15" t="s">
        <v>10</v>
      </c>
      <c r="S9" s="138"/>
    </row>
    <row r="10" spans="1:19" s="66" customFormat="1" x14ac:dyDescent="0.25">
      <c r="A10" s="28"/>
      <c r="B10" s="29" t="s">
        <v>57</v>
      </c>
      <c r="C10" s="29">
        <f>C14+C15+C16+C17+C18+C19+C20+C21+C22+C23+C24+C25+C26+C27+C28+C29+C30+C31+C32+C33+C34+C35+C36+C37</f>
        <v>66563846856424.313</v>
      </c>
      <c r="D10" s="29">
        <f t="shared" ref="D10:R10" si="0">D14+D15+D16+D17+D18+D19+D20+D21+D22+D23+D24+D25+D26+D27+D28+D29+D30+D31+D32+D33+D34+D35+D36+D37</f>
        <v>30801639929839.352</v>
      </c>
      <c r="E10" s="29">
        <f t="shared" si="0"/>
        <v>4571210368460</v>
      </c>
      <c r="F10" s="29">
        <f t="shared" si="0"/>
        <v>1344365073036</v>
      </c>
      <c r="G10" s="29">
        <f t="shared" si="0"/>
        <v>2948887383366.7188</v>
      </c>
      <c r="H10" s="29">
        <f t="shared" si="0"/>
        <v>980253445066.79163</v>
      </c>
      <c r="I10" s="29">
        <f t="shared" si="0"/>
        <v>22252265963</v>
      </c>
      <c r="J10" s="29">
        <f t="shared" si="0"/>
        <v>159910633052</v>
      </c>
      <c r="K10" s="29">
        <f t="shared" si="0"/>
        <v>9497045221602</v>
      </c>
      <c r="L10" s="29">
        <f t="shared" si="0"/>
        <v>527137175876</v>
      </c>
      <c r="M10" s="29">
        <f t="shared" si="0"/>
        <v>1635263480573.991</v>
      </c>
      <c r="N10" s="29">
        <f t="shared" si="0"/>
        <v>1476180385510</v>
      </c>
      <c r="O10" s="29">
        <f t="shared" si="0"/>
        <v>2667281522902.4497</v>
      </c>
      <c r="P10" s="29">
        <f t="shared" si="0"/>
        <v>64670078010</v>
      </c>
      <c r="Q10" s="29">
        <f t="shared" si="0"/>
        <v>290879465757</v>
      </c>
      <c r="R10" s="29">
        <f t="shared" si="0"/>
        <v>9576947838687</v>
      </c>
      <c r="S10" s="29"/>
    </row>
    <row r="11" spans="1:19" s="66" customFormat="1" ht="18.95" customHeight="1" x14ac:dyDescent="0.25">
      <c r="A11" s="28"/>
      <c r="B11" s="29" t="s">
        <v>58</v>
      </c>
      <c r="C11" s="29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29"/>
    </row>
    <row r="12" spans="1:19" s="66" customFormat="1" ht="18.95" customHeight="1" x14ac:dyDescent="0.25">
      <c r="A12" s="28"/>
      <c r="B12" s="29"/>
      <c r="C12" s="29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29"/>
    </row>
    <row r="13" spans="1:19" s="66" customFormat="1" ht="18.95" customHeight="1" x14ac:dyDescent="0.25">
      <c r="A13" s="28"/>
      <c r="B13" s="29"/>
      <c r="C13" s="29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29"/>
    </row>
    <row r="14" spans="1:19" s="66" customFormat="1" x14ac:dyDescent="0.25">
      <c r="A14" s="61">
        <v>1</v>
      </c>
      <c r="B14" s="62" t="s">
        <v>31</v>
      </c>
      <c r="C14" s="67">
        <f>C39+C64</f>
        <v>35346143000</v>
      </c>
      <c r="D14" s="67">
        <f>D39+D64</f>
        <v>33537511000</v>
      </c>
      <c r="E14" s="64">
        <f>E39+E64</f>
        <v>0</v>
      </c>
      <c r="F14" s="64">
        <f t="shared" ref="F14:S14" si="1">F39+F64</f>
        <v>0</v>
      </c>
      <c r="G14" s="64">
        <f t="shared" si="1"/>
        <v>0</v>
      </c>
      <c r="H14" s="64">
        <f t="shared" si="1"/>
        <v>0</v>
      </c>
      <c r="I14" s="64">
        <f t="shared" si="1"/>
        <v>0</v>
      </c>
      <c r="J14" s="64">
        <f t="shared" si="1"/>
        <v>0</v>
      </c>
      <c r="K14" s="64">
        <f t="shared" si="1"/>
        <v>0</v>
      </c>
      <c r="L14" s="64">
        <f t="shared" si="1"/>
        <v>0</v>
      </c>
      <c r="M14" s="64">
        <f t="shared" si="1"/>
        <v>0</v>
      </c>
      <c r="N14" s="64">
        <f t="shared" si="1"/>
        <v>0</v>
      </c>
      <c r="O14" s="64">
        <f t="shared" si="1"/>
        <v>0</v>
      </c>
      <c r="P14" s="64">
        <f t="shared" si="1"/>
        <v>0</v>
      </c>
      <c r="Q14" s="64">
        <f t="shared" si="1"/>
        <v>0</v>
      </c>
      <c r="R14" s="64">
        <f t="shared" si="1"/>
        <v>1808632000</v>
      </c>
      <c r="S14" s="64">
        <f t="shared" si="1"/>
        <v>0</v>
      </c>
    </row>
    <row r="15" spans="1:19" x14ac:dyDescent="0.25">
      <c r="A15" s="61">
        <v>2</v>
      </c>
      <c r="B15" s="62" t="s">
        <v>30</v>
      </c>
      <c r="C15" s="63">
        <f>C40+C65</f>
        <v>30703734196</v>
      </c>
      <c r="D15" s="64">
        <f>D40+D65</f>
        <v>0</v>
      </c>
      <c r="E15" s="64">
        <f t="shared" ref="E15:S15" si="2">E40+E65</f>
        <v>0</v>
      </c>
      <c r="F15" s="64">
        <f t="shared" si="2"/>
        <v>0</v>
      </c>
      <c r="G15" s="64">
        <f t="shared" si="2"/>
        <v>0</v>
      </c>
      <c r="H15" s="64">
        <f t="shared" si="2"/>
        <v>0</v>
      </c>
      <c r="I15" s="64">
        <f t="shared" si="2"/>
        <v>0</v>
      </c>
      <c r="J15" s="64">
        <f t="shared" si="2"/>
        <v>0</v>
      </c>
      <c r="K15" s="64">
        <f t="shared" si="2"/>
        <v>0</v>
      </c>
      <c r="L15" s="64">
        <f t="shared" si="2"/>
        <v>0</v>
      </c>
      <c r="M15" s="64">
        <f t="shared" si="2"/>
        <v>31698000</v>
      </c>
      <c r="N15" s="64">
        <f t="shared" si="2"/>
        <v>0</v>
      </c>
      <c r="O15" s="64">
        <f t="shared" si="2"/>
        <v>0</v>
      </c>
      <c r="P15" s="64">
        <f t="shared" si="2"/>
        <v>0</v>
      </c>
      <c r="Q15" s="64">
        <f t="shared" si="2"/>
        <v>0</v>
      </c>
      <c r="R15" s="64">
        <f t="shared" si="2"/>
        <v>30672036196</v>
      </c>
      <c r="S15" s="64">
        <f t="shared" si="2"/>
        <v>0</v>
      </c>
    </row>
    <row r="16" spans="1:19" ht="24" x14ac:dyDescent="0.25">
      <c r="A16" s="61">
        <v>3</v>
      </c>
      <c r="B16" s="62" t="s">
        <v>32</v>
      </c>
      <c r="C16" s="63">
        <f t="shared" ref="C16:C23" si="3">C41+C66</f>
        <v>287000000</v>
      </c>
      <c r="D16" s="63">
        <f t="shared" ref="D16:R16" si="4">D41+D66</f>
        <v>0</v>
      </c>
      <c r="E16" s="63">
        <f t="shared" si="4"/>
        <v>0</v>
      </c>
      <c r="F16" s="63">
        <f t="shared" si="4"/>
        <v>0</v>
      </c>
      <c r="G16" s="63">
        <f t="shared" si="4"/>
        <v>0</v>
      </c>
      <c r="H16" s="63">
        <f t="shared" si="4"/>
        <v>0</v>
      </c>
      <c r="I16" s="63">
        <f t="shared" si="4"/>
        <v>0</v>
      </c>
      <c r="J16" s="63">
        <f t="shared" si="4"/>
        <v>0</v>
      </c>
      <c r="K16" s="63">
        <f t="shared" si="4"/>
        <v>0</v>
      </c>
      <c r="L16" s="63">
        <f t="shared" si="4"/>
        <v>0</v>
      </c>
      <c r="M16" s="63">
        <f t="shared" si="4"/>
        <v>0</v>
      </c>
      <c r="N16" s="63">
        <f t="shared" si="4"/>
        <v>0</v>
      </c>
      <c r="O16" s="63">
        <f t="shared" si="4"/>
        <v>0</v>
      </c>
      <c r="P16" s="63">
        <f t="shared" si="4"/>
        <v>0</v>
      </c>
      <c r="Q16" s="63">
        <f t="shared" si="4"/>
        <v>0</v>
      </c>
      <c r="R16" s="63">
        <f t="shared" si="4"/>
        <v>287000000</v>
      </c>
      <c r="S16" s="63"/>
    </row>
    <row r="17" spans="1:19" ht="24" x14ac:dyDescent="0.25">
      <c r="A17" s="61">
        <v>4</v>
      </c>
      <c r="B17" s="62" t="s">
        <v>33</v>
      </c>
      <c r="C17" s="63">
        <f t="shared" si="3"/>
        <v>993181221765</v>
      </c>
      <c r="D17" s="63">
        <f t="shared" ref="D17:R17" si="5">D42+D67</f>
        <v>97092695677</v>
      </c>
      <c r="E17" s="63">
        <f t="shared" si="5"/>
        <v>197215305985</v>
      </c>
      <c r="F17" s="63">
        <f t="shared" si="5"/>
        <v>0</v>
      </c>
      <c r="G17" s="63">
        <f t="shared" si="5"/>
        <v>86130823971</v>
      </c>
      <c r="H17" s="63">
        <f t="shared" si="5"/>
        <v>17851887958</v>
      </c>
      <c r="I17" s="63">
        <f t="shared" si="5"/>
        <v>0</v>
      </c>
      <c r="J17" s="63">
        <f t="shared" si="5"/>
        <v>0</v>
      </c>
      <c r="K17" s="63">
        <f t="shared" si="5"/>
        <v>350532257815</v>
      </c>
      <c r="L17" s="63">
        <f t="shared" si="5"/>
        <v>0</v>
      </c>
      <c r="M17" s="63">
        <f t="shared" si="5"/>
        <v>14842278651</v>
      </c>
      <c r="N17" s="63">
        <f t="shared" si="5"/>
        <v>137903441099</v>
      </c>
      <c r="O17" s="63">
        <f t="shared" si="5"/>
        <v>0</v>
      </c>
      <c r="P17" s="63">
        <f t="shared" si="5"/>
        <v>0</v>
      </c>
      <c r="Q17" s="63">
        <f t="shared" si="5"/>
        <v>0</v>
      </c>
      <c r="R17" s="63">
        <f t="shared" si="5"/>
        <v>91781457411</v>
      </c>
      <c r="S17" s="63"/>
    </row>
    <row r="18" spans="1:19" ht="23.1" customHeight="1" x14ac:dyDescent="0.25">
      <c r="A18" s="61">
        <v>5</v>
      </c>
      <c r="B18" s="62" t="s">
        <v>35</v>
      </c>
      <c r="C18" s="63">
        <f t="shared" si="3"/>
        <v>809716682132.40308</v>
      </c>
      <c r="D18" s="63">
        <f t="shared" ref="D18:R18" si="6">D43+D68</f>
        <v>167066347530.69348</v>
      </c>
      <c r="E18" s="63">
        <f t="shared" si="6"/>
        <v>564209681093</v>
      </c>
      <c r="F18" s="63">
        <f t="shared" si="6"/>
        <v>0</v>
      </c>
      <c r="G18" s="63">
        <f t="shared" si="6"/>
        <v>9985206432.7184753</v>
      </c>
      <c r="H18" s="63">
        <f t="shared" si="6"/>
        <v>33869280000</v>
      </c>
      <c r="I18" s="63">
        <f t="shared" si="6"/>
        <v>0</v>
      </c>
      <c r="J18" s="63">
        <f t="shared" si="6"/>
        <v>0</v>
      </c>
      <c r="K18" s="63">
        <f t="shared" si="6"/>
        <v>0</v>
      </c>
      <c r="L18" s="63">
        <f t="shared" si="6"/>
        <v>0</v>
      </c>
      <c r="M18" s="63">
        <f t="shared" si="6"/>
        <v>795467159.99104786</v>
      </c>
      <c r="N18" s="63">
        <f t="shared" si="6"/>
        <v>0</v>
      </c>
      <c r="O18" s="63">
        <f t="shared" si="6"/>
        <v>14283427000</v>
      </c>
      <c r="P18" s="63">
        <f t="shared" si="6"/>
        <v>0</v>
      </c>
      <c r="Q18" s="63">
        <f t="shared" si="6"/>
        <v>1028225185.9999999</v>
      </c>
      <c r="R18" s="63">
        <f t="shared" si="6"/>
        <v>18479047730</v>
      </c>
      <c r="S18" s="63"/>
    </row>
    <row r="19" spans="1:19" ht="24" x14ac:dyDescent="0.25">
      <c r="A19" s="61">
        <v>6</v>
      </c>
      <c r="B19" s="62" t="s">
        <v>36</v>
      </c>
      <c r="C19" s="63">
        <f t="shared" si="3"/>
        <v>3539425416448</v>
      </c>
      <c r="D19" s="63">
        <f t="shared" ref="D19:R19" si="7">D44+D69</f>
        <v>80273413231</v>
      </c>
      <c r="E19" s="63">
        <f t="shared" si="7"/>
        <v>3084578602965</v>
      </c>
      <c r="F19" s="63">
        <f t="shared" si="7"/>
        <v>0</v>
      </c>
      <c r="G19" s="63">
        <f t="shared" si="7"/>
        <v>0</v>
      </c>
      <c r="H19" s="63">
        <f t="shared" si="7"/>
        <v>54172784</v>
      </c>
      <c r="I19" s="63">
        <f t="shared" si="7"/>
        <v>0</v>
      </c>
      <c r="J19" s="63">
        <f t="shared" si="7"/>
        <v>0</v>
      </c>
      <c r="K19" s="63">
        <f t="shared" si="7"/>
        <v>5115188000</v>
      </c>
      <c r="L19" s="63">
        <f t="shared" si="7"/>
        <v>0</v>
      </c>
      <c r="M19" s="63">
        <f t="shared" si="7"/>
        <v>789469366</v>
      </c>
      <c r="N19" s="63">
        <f t="shared" si="7"/>
        <v>0</v>
      </c>
      <c r="O19" s="63">
        <f t="shared" si="7"/>
        <v>34795832836</v>
      </c>
      <c r="P19" s="63">
        <f t="shared" si="7"/>
        <v>0</v>
      </c>
      <c r="Q19" s="63">
        <f t="shared" si="7"/>
        <v>110959474887</v>
      </c>
      <c r="R19" s="63">
        <f t="shared" si="7"/>
        <v>222859262379</v>
      </c>
      <c r="S19" s="63"/>
    </row>
    <row r="20" spans="1:19" ht="24" x14ac:dyDescent="0.25">
      <c r="A20" s="61">
        <v>7</v>
      </c>
      <c r="B20" s="62" t="s">
        <v>37</v>
      </c>
      <c r="C20" s="63">
        <f t="shared" si="3"/>
        <v>1006331307645.8553</v>
      </c>
      <c r="D20" s="63">
        <f t="shared" ref="D20:R20" si="8">D45+D70</f>
        <v>881426522741.85535</v>
      </c>
      <c r="E20" s="63">
        <f t="shared" si="8"/>
        <v>6250169576</v>
      </c>
      <c r="F20" s="63">
        <f t="shared" si="8"/>
        <v>0</v>
      </c>
      <c r="G20" s="63">
        <f t="shared" si="8"/>
        <v>3656602446.9999995</v>
      </c>
      <c r="H20" s="63">
        <f t="shared" si="8"/>
        <v>85972951508.999985</v>
      </c>
      <c r="I20" s="63">
        <f t="shared" si="8"/>
        <v>0</v>
      </c>
      <c r="J20" s="63">
        <f t="shared" si="8"/>
        <v>0</v>
      </c>
      <c r="K20" s="63">
        <f t="shared" si="8"/>
        <v>16964688639</v>
      </c>
      <c r="L20" s="63">
        <f t="shared" si="8"/>
        <v>0</v>
      </c>
      <c r="M20" s="63">
        <f t="shared" si="8"/>
        <v>7703128731.000001</v>
      </c>
      <c r="N20" s="63">
        <f t="shared" si="8"/>
        <v>105339000</v>
      </c>
      <c r="O20" s="63">
        <f t="shared" si="8"/>
        <v>4251905001.9999995</v>
      </c>
      <c r="P20" s="63">
        <f t="shared" si="8"/>
        <v>0</v>
      </c>
      <c r="Q20" s="63">
        <f t="shared" si="8"/>
        <v>0</v>
      </c>
      <c r="R20" s="63">
        <f t="shared" si="8"/>
        <v>0</v>
      </c>
      <c r="S20" s="63"/>
    </row>
    <row r="21" spans="1:19" ht="24" x14ac:dyDescent="0.25">
      <c r="A21" s="61">
        <v>8</v>
      </c>
      <c r="B21" s="62" t="s">
        <v>38</v>
      </c>
      <c r="C21" s="63">
        <f t="shared" si="3"/>
        <v>6747383663523</v>
      </c>
      <c r="D21" s="63">
        <f t="shared" ref="D21:R21" si="9">D46+D71</f>
        <v>359500252218</v>
      </c>
      <c r="E21" s="63">
        <f t="shared" si="9"/>
        <v>114789000</v>
      </c>
      <c r="F21" s="63">
        <f t="shared" si="9"/>
        <v>1192159578</v>
      </c>
      <c r="G21" s="63">
        <f t="shared" si="9"/>
        <v>343215725548</v>
      </c>
      <c r="H21" s="63">
        <f t="shared" si="9"/>
        <v>12428786448</v>
      </c>
      <c r="I21" s="63">
        <f t="shared" si="9"/>
        <v>1894000</v>
      </c>
      <c r="J21" s="63">
        <f t="shared" si="9"/>
        <v>40733332000</v>
      </c>
      <c r="K21" s="63">
        <f t="shared" si="9"/>
        <v>1095781686143</v>
      </c>
      <c r="L21" s="63">
        <f t="shared" si="9"/>
        <v>57517363000</v>
      </c>
      <c r="M21" s="63">
        <f t="shared" si="9"/>
        <v>448752363139</v>
      </c>
      <c r="N21" s="63">
        <f t="shared" si="9"/>
        <v>44810406866</v>
      </c>
      <c r="O21" s="63">
        <f t="shared" si="9"/>
        <v>1605788705336</v>
      </c>
      <c r="P21" s="63">
        <f t="shared" si="9"/>
        <v>30900610000</v>
      </c>
      <c r="Q21" s="63">
        <f t="shared" si="9"/>
        <v>25459512059</v>
      </c>
      <c r="R21" s="63">
        <f t="shared" si="9"/>
        <v>2681186078188</v>
      </c>
      <c r="S21" s="63"/>
    </row>
    <row r="22" spans="1:19" ht="24" x14ac:dyDescent="0.25">
      <c r="A22" s="61">
        <v>9</v>
      </c>
      <c r="B22" s="62" t="s">
        <v>39</v>
      </c>
      <c r="C22" s="63">
        <f t="shared" si="3"/>
        <v>8137054749926</v>
      </c>
      <c r="D22" s="63">
        <f t="shared" ref="D22:R22" si="10">D47+D72</f>
        <v>600458624869</v>
      </c>
      <c r="E22" s="63">
        <f t="shared" si="10"/>
        <v>92055262580</v>
      </c>
      <c r="F22" s="63">
        <f t="shared" si="10"/>
        <v>1109430431422</v>
      </c>
      <c r="G22" s="63">
        <f t="shared" si="10"/>
        <v>2086341464003</v>
      </c>
      <c r="H22" s="63">
        <f t="shared" si="10"/>
        <v>43915367016</v>
      </c>
      <c r="I22" s="63">
        <f t="shared" si="10"/>
        <v>0</v>
      </c>
      <c r="J22" s="63">
        <f t="shared" si="10"/>
        <v>0</v>
      </c>
      <c r="K22" s="63">
        <f t="shared" si="10"/>
        <v>2730438210840</v>
      </c>
      <c r="L22" s="63">
        <f t="shared" si="10"/>
        <v>0</v>
      </c>
      <c r="M22" s="63">
        <f t="shared" si="10"/>
        <v>962097359060</v>
      </c>
      <c r="N22" s="63">
        <f t="shared" si="10"/>
        <v>54683081019</v>
      </c>
      <c r="O22" s="63">
        <f t="shared" si="10"/>
        <v>10351059104</v>
      </c>
      <c r="P22" s="63">
        <f t="shared" si="10"/>
        <v>0</v>
      </c>
      <c r="Q22" s="63">
        <f t="shared" si="10"/>
        <v>46132034196</v>
      </c>
      <c r="R22" s="63">
        <f t="shared" si="10"/>
        <v>401151855817</v>
      </c>
      <c r="S22" s="63"/>
    </row>
    <row r="23" spans="1:19" ht="24" x14ac:dyDescent="0.25">
      <c r="A23" s="61">
        <v>10</v>
      </c>
      <c r="B23" s="62" t="s">
        <v>40</v>
      </c>
      <c r="C23" s="63">
        <f t="shared" si="3"/>
        <v>285000806198.99994</v>
      </c>
      <c r="D23" s="63">
        <f t="shared" ref="D23:R23" si="11">D48+D73</f>
        <v>9874332028</v>
      </c>
      <c r="E23" s="63">
        <f t="shared" si="11"/>
        <v>0</v>
      </c>
      <c r="F23" s="63">
        <f t="shared" si="11"/>
        <v>0</v>
      </c>
      <c r="G23" s="63">
        <f t="shared" si="11"/>
        <v>2670092464</v>
      </c>
      <c r="H23" s="63">
        <f t="shared" si="11"/>
        <v>7184338459</v>
      </c>
      <c r="I23" s="63">
        <f t="shared" si="11"/>
        <v>0</v>
      </c>
      <c r="J23" s="63">
        <f t="shared" si="11"/>
        <v>0</v>
      </c>
      <c r="K23" s="63">
        <f t="shared" si="11"/>
        <v>0</v>
      </c>
      <c r="L23" s="63">
        <f t="shared" si="11"/>
        <v>0</v>
      </c>
      <c r="M23" s="63">
        <f t="shared" si="11"/>
        <v>12580015381</v>
      </c>
      <c r="N23" s="63">
        <f t="shared" si="11"/>
        <v>0</v>
      </c>
      <c r="O23" s="63">
        <f t="shared" si="11"/>
        <v>0</v>
      </c>
      <c r="P23" s="63">
        <f t="shared" si="11"/>
        <v>0</v>
      </c>
      <c r="Q23" s="63">
        <f t="shared" si="11"/>
        <v>0</v>
      </c>
      <c r="R23" s="63">
        <f t="shared" si="11"/>
        <v>252692027863</v>
      </c>
      <c r="S23" s="63"/>
    </row>
    <row r="24" spans="1:19" ht="24" x14ac:dyDescent="0.25">
      <c r="A24" s="61">
        <v>11</v>
      </c>
      <c r="B24" s="62" t="s">
        <v>41</v>
      </c>
      <c r="C24" s="63">
        <f>C74</f>
        <v>2552316120235</v>
      </c>
      <c r="D24" s="63">
        <f t="shared" ref="D24:R24" si="12">D74</f>
        <v>2437291840243</v>
      </c>
      <c r="E24" s="63">
        <f t="shared" si="12"/>
        <v>2729924420</v>
      </c>
      <c r="F24" s="63">
        <f t="shared" si="12"/>
        <v>0</v>
      </c>
      <c r="G24" s="63">
        <f t="shared" si="12"/>
        <v>0</v>
      </c>
      <c r="H24" s="63">
        <f t="shared" si="12"/>
        <v>0</v>
      </c>
      <c r="I24" s="63">
        <f t="shared" si="12"/>
        <v>0</v>
      </c>
      <c r="J24" s="63">
        <f t="shared" si="12"/>
        <v>0</v>
      </c>
      <c r="K24" s="63">
        <f t="shared" si="12"/>
        <v>101251939269</v>
      </c>
      <c r="L24" s="63">
        <f t="shared" si="12"/>
        <v>0</v>
      </c>
      <c r="M24" s="63">
        <f t="shared" si="12"/>
        <v>0</v>
      </c>
      <c r="N24" s="63">
        <f t="shared" si="12"/>
        <v>190324526</v>
      </c>
      <c r="O24" s="63">
        <f t="shared" si="12"/>
        <v>0</v>
      </c>
      <c r="P24" s="63">
        <f t="shared" si="12"/>
        <v>0</v>
      </c>
      <c r="Q24" s="63">
        <f t="shared" si="12"/>
        <v>0</v>
      </c>
      <c r="R24" s="63">
        <f t="shared" si="12"/>
        <v>10852091777</v>
      </c>
      <c r="S24" s="63"/>
    </row>
    <row r="25" spans="1:19" x14ac:dyDescent="0.25">
      <c r="A25" s="61">
        <v>12</v>
      </c>
      <c r="B25" s="62" t="s">
        <v>42</v>
      </c>
      <c r="C25" s="63">
        <f t="shared" ref="C25:C37" si="13">C50+C75</f>
        <v>11314390434915.844</v>
      </c>
      <c r="D25" s="63">
        <f t="shared" ref="D25:R25" si="14">D50+D75</f>
        <v>7516230003603.2012</v>
      </c>
      <c r="E25" s="63">
        <f t="shared" si="14"/>
        <v>147555814431.99997</v>
      </c>
      <c r="F25" s="63">
        <f t="shared" si="14"/>
        <v>37905234080.000008</v>
      </c>
      <c r="G25" s="63">
        <f t="shared" si="14"/>
        <v>20427073429</v>
      </c>
      <c r="H25" s="63">
        <f t="shared" si="14"/>
        <v>146199006650.19165</v>
      </c>
      <c r="I25" s="63">
        <f t="shared" si="14"/>
        <v>0</v>
      </c>
      <c r="J25" s="63">
        <f t="shared" si="14"/>
        <v>503400000</v>
      </c>
      <c r="K25" s="63">
        <f t="shared" si="14"/>
        <v>333347063651</v>
      </c>
      <c r="L25" s="63">
        <f t="shared" si="14"/>
        <v>72211486382</v>
      </c>
      <c r="M25" s="63">
        <f t="shared" si="14"/>
        <v>9307304007</v>
      </c>
      <c r="N25" s="63">
        <f t="shared" si="14"/>
        <v>726127522431.99988</v>
      </c>
      <c r="O25" s="63">
        <f t="shared" si="14"/>
        <v>992242178550.44983</v>
      </c>
      <c r="P25" s="63">
        <f t="shared" si="14"/>
        <v>0</v>
      </c>
      <c r="Q25" s="63">
        <f t="shared" si="14"/>
        <v>711988636</v>
      </c>
      <c r="R25" s="63">
        <f t="shared" si="14"/>
        <v>1311619359063</v>
      </c>
      <c r="S25" s="63"/>
    </row>
    <row r="26" spans="1:19" x14ac:dyDescent="0.25">
      <c r="A26" s="61">
        <v>13</v>
      </c>
      <c r="B26" s="62" t="s">
        <v>43</v>
      </c>
      <c r="C26" s="63">
        <f t="shared" si="13"/>
        <v>628451910505</v>
      </c>
      <c r="D26" s="63">
        <f t="shared" ref="D26:R26" si="15">D51+D76</f>
        <v>507115294243</v>
      </c>
      <c r="E26" s="63">
        <f t="shared" si="15"/>
        <v>36959168400</v>
      </c>
      <c r="F26" s="63">
        <f t="shared" si="15"/>
        <v>9326098374</v>
      </c>
      <c r="G26" s="63">
        <f t="shared" si="15"/>
        <v>2671545399</v>
      </c>
      <c r="H26" s="63">
        <f t="shared" si="15"/>
        <v>3202561177</v>
      </c>
      <c r="I26" s="63">
        <f t="shared" si="15"/>
        <v>0</v>
      </c>
      <c r="J26" s="63">
        <f t="shared" si="15"/>
        <v>9747000000</v>
      </c>
      <c r="K26" s="63">
        <f t="shared" si="15"/>
        <v>10209679000</v>
      </c>
      <c r="L26" s="63">
        <f t="shared" si="15"/>
        <v>0</v>
      </c>
      <c r="M26" s="63">
        <f t="shared" si="15"/>
        <v>21629241136</v>
      </c>
      <c r="N26" s="63">
        <f t="shared" si="15"/>
        <v>14739888206</v>
      </c>
      <c r="O26" s="63">
        <f t="shared" si="15"/>
        <v>45893000</v>
      </c>
      <c r="P26" s="63">
        <f t="shared" si="15"/>
        <v>0</v>
      </c>
      <c r="Q26" s="63">
        <f t="shared" si="15"/>
        <v>1162937530</v>
      </c>
      <c r="R26" s="63">
        <f t="shared" si="15"/>
        <v>11642604040</v>
      </c>
      <c r="S26" s="63"/>
    </row>
    <row r="27" spans="1:19" x14ac:dyDescent="0.25">
      <c r="A27" s="61">
        <v>14</v>
      </c>
      <c r="B27" s="62" t="s">
        <v>44</v>
      </c>
      <c r="C27" s="63">
        <f t="shared" si="13"/>
        <v>1138095922245.999</v>
      </c>
      <c r="D27" s="63">
        <f t="shared" ref="D27:R27" si="16">D52+D77</f>
        <v>706386952699.99902</v>
      </c>
      <c r="E27" s="63">
        <f t="shared" si="16"/>
        <v>39165985493</v>
      </c>
      <c r="F27" s="63">
        <f t="shared" si="16"/>
        <v>24243012422.000004</v>
      </c>
      <c r="G27" s="63">
        <f t="shared" si="16"/>
        <v>48624160715</v>
      </c>
      <c r="H27" s="63">
        <f t="shared" si="16"/>
        <v>8295905827.999999</v>
      </c>
      <c r="I27" s="63">
        <f t="shared" si="16"/>
        <v>0</v>
      </c>
      <c r="J27" s="63">
        <f t="shared" si="16"/>
        <v>1524025.9999999993</v>
      </c>
      <c r="K27" s="63">
        <f t="shared" si="16"/>
        <v>300662282895</v>
      </c>
      <c r="L27" s="63">
        <f t="shared" si="16"/>
        <v>0</v>
      </c>
      <c r="M27" s="63">
        <f t="shared" si="16"/>
        <v>2938150963</v>
      </c>
      <c r="N27" s="63">
        <f t="shared" si="16"/>
        <v>0</v>
      </c>
      <c r="O27" s="63">
        <f t="shared" si="16"/>
        <v>0</v>
      </c>
      <c r="P27" s="63">
        <f t="shared" si="16"/>
        <v>0</v>
      </c>
      <c r="Q27" s="63">
        <f t="shared" si="16"/>
        <v>0</v>
      </c>
      <c r="R27" s="63">
        <f t="shared" si="16"/>
        <v>7777947204</v>
      </c>
      <c r="S27" s="63"/>
    </row>
    <row r="28" spans="1:19" x14ac:dyDescent="0.25">
      <c r="A28" s="61">
        <v>15</v>
      </c>
      <c r="B28" s="62" t="s">
        <v>45</v>
      </c>
      <c r="C28" s="63">
        <f t="shared" si="13"/>
        <v>11558284956604.004</v>
      </c>
      <c r="D28" s="63">
        <f t="shared" ref="D28:R28" si="17">D53+D78</f>
        <v>4741677884179</v>
      </c>
      <c r="E28" s="63">
        <f t="shared" si="17"/>
        <v>44276520387</v>
      </c>
      <c r="F28" s="63">
        <f t="shared" si="17"/>
        <v>65849629015</v>
      </c>
      <c r="G28" s="63">
        <f t="shared" si="17"/>
        <v>86944113973</v>
      </c>
      <c r="H28" s="63">
        <f t="shared" si="17"/>
        <v>35033072393</v>
      </c>
      <c r="I28" s="63">
        <f t="shared" si="17"/>
        <v>0</v>
      </c>
      <c r="J28" s="63">
        <f t="shared" si="17"/>
        <v>37186175450</v>
      </c>
      <c r="K28" s="63">
        <f t="shared" si="17"/>
        <v>3533728327828.0005</v>
      </c>
      <c r="L28" s="63">
        <f t="shared" si="17"/>
        <v>51493805531.000008</v>
      </c>
      <c r="M28" s="63">
        <f t="shared" si="17"/>
        <v>66980911224.999992</v>
      </c>
      <c r="N28" s="63">
        <f t="shared" si="17"/>
        <v>163709117349.00003</v>
      </c>
      <c r="O28" s="63">
        <f t="shared" si="17"/>
        <v>294781268</v>
      </c>
      <c r="P28" s="63">
        <f t="shared" si="17"/>
        <v>0</v>
      </c>
      <c r="Q28" s="63">
        <f t="shared" si="17"/>
        <v>105370872062.99998</v>
      </c>
      <c r="R28" s="63">
        <f t="shared" si="17"/>
        <v>2625739745943.001</v>
      </c>
      <c r="S28" s="63"/>
    </row>
    <row r="29" spans="1:19" x14ac:dyDescent="0.25">
      <c r="A29" s="61">
        <v>16</v>
      </c>
      <c r="B29" s="62" t="s">
        <v>46</v>
      </c>
      <c r="C29" s="63">
        <f t="shared" si="13"/>
        <v>548514642273</v>
      </c>
      <c r="D29" s="63">
        <f t="shared" ref="D29:R29" si="18">D54+D79</f>
        <v>396844965868</v>
      </c>
      <c r="E29" s="63">
        <f t="shared" si="18"/>
        <v>10051362857</v>
      </c>
      <c r="F29" s="63">
        <f t="shared" si="18"/>
        <v>15556404483</v>
      </c>
      <c r="G29" s="63">
        <f t="shared" si="18"/>
        <v>8570054824</v>
      </c>
      <c r="H29" s="63">
        <f t="shared" si="18"/>
        <v>37573690286</v>
      </c>
      <c r="I29" s="63">
        <f t="shared" si="18"/>
        <v>0</v>
      </c>
      <c r="J29" s="63">
        <f t="shared" si="18"/>
        <v>0</v>
      </c>
      <c r="K29" s="63">
        <f t="shared" si="18"/>
        <v>23499781521</v>
      </c>
      <c r="L29" s="63">
        <f t="shared" si="18"/>
        <v>0</v>
      </c>
      <c r="M29" s="63">
        <f t="shared" si="18"/>
        <v>3950512154</v>
      </c>
      <c r="N29" s="63">
        <f t="shared" si="18"/>
        <v>4902847371</v>
      </c>
      <c r="O29" s="63">
        <f t="shared" si="18"/>
        <v>1379575759</v>
      </c>
      <c r="P29" s="63">
        <f t="shared" si="18"/>
        <v>0</v>
      </c>
      <c r="Q29" s="63">
        <f t="shared" si="18"/>
        <v>0</v>
      </c>
      <c r="R29" s="63">
        <f t="shared" si="18"/>
        <v>46185447150</v>
      </c>
      <c r="S29" s="63"/>
    </row>
    <row r="30" spans="1:19" x14ac:dyDescent="0.25">
      <c r="A30" s="61">
        <v>17</v>
      </c>
      <c r="B30" s="62" t="s">
        <v>47</v>
      </c>
      <c r="C30" s="63">
        <f t="shared" si="13"/>
        <v>1158980765953.2</v>
      </c>
      <c r="D30" s="63">
        <f t="shared" ref="D30:R30" si="19">D55+D80</f>
        <v>566454683831.59998</v>
      </c>
      <c r="E30" s="63">
        <f t="shared" si="19"/>
        <v>7669393659</v>
      </c>
      <c r="F30" s="63">
        <f t="shared" si="19"/>
        <v>3988633411</v>
      </c>
      <c r="G30" s="63">
        <f t="shared" si="19"/>
        <v>129368000628</v>
      </c>
      <c r="H30" s="63">
        <f t="shared" si="19"/>
        <v>15599802927.6</v>
      </c>
      <c r="I30" s="63">
        <f t="shared" si="19"/>
        <v>0</v>
      </c>
      <c r="J30" s="63">
        <f t="shared" si="19"/>
        <v>7148689500</v>
      </c>
      <c r="K30" s="63">
        <f t="shared" si="19"/>
        <v>15004336300</v>
      </c>
      <c r="L30" s="63">
        <f t="shared" si="19"/>
        <v>0</v>
      </c>
      <c r="M30" s="63">
        <f t="shared" si="19"/>
        <v>525250297</v>
      </c>
      <c r="N30" s="63">
        <f t="shared" si="19"/>
        <v>34647181947</v>
      </c>
      <c r="O30" s="63">
        <f t="shared" si="19"/>
        <v>0</v>
      </c>
      <c r="P30" s="63">
        <f t="shared" si="19"/>
        <v>0</v>
      </c>
      <c r="Q30" s="63">
        <f t="shared" si="19"/>
        <v>0</v>
      </c>
      <c r="R30" s="63">
        <f t="shared" si="19"/>
        <v>378574793452</v>
      </c>
      <c r="S30" s="63"/>
    </row>
    <row r="31" spans="1:19" x14ac:dyDescent="0.25">
      <c r="A31" s="61">
        <v>18</v>
      </c>
      <c r="B31" s="62" t="s">
        <v>48</v>
      </c>
      <c r="C31" s="63">
        <f t="shared" si="13"/>
        <v>1431086332325</v>
      </c>
      <c r="D31" s="63">
        <f t="shared" ref="D31:R31" si="20">D56+D81</f>
        <v>470796081148</v>
      </c>
      <c r="E31" s="63">
        <f t="shared" si="20"/>
        <v>49579859791</v>
      </c>
      <c r="F31" s="63">
        <f t="shared" si="20"/>
        <v>14710044444</v>
      </c>
      <c r="G31" s="63">
        <f t="shared" si="20"/>
        <v>0</v>
      </c>
      <c r="H31" s="63">
        <f t="shared" si="20"/>
        <v>60938151119</v>
      </c>
      <c r="I31" s="63">
        <f t="shared" si="20"/>
        <v>19770330659</v>
      </c>
      <c r="J31" s="63">
        <f t="shared" si="20"/>
        <v>0</v>
      </c>
      <c r="K31" s="63">
        <f t="shared" si="20"/>
        <v>0</v>
      </c>
      <c r="L31" s="63">
        <f t="shared" si="20"/>
        <v>242304664823</v>
      </c>
      <c r="M31" s="63">
        <f t="shared" si="20"/>
        <v>0</v>
      </c>
      <c r="N31" s="63">
        <f t="shared" si="20"/>
        <v>6286373487</v>
      </c>
      <c r="O31" s="63">
        <f t="shared" si="20"/>
        <v>0</v>
      </c>
      <c r="P31" s="63">
        <f t="shared" si="20"/>
        <v>0</v>
      </c>
      <c r="Q31" s="63">
        <f t="shared" si="20"/>
        <v>0</v>
      </c>
      <c r="R31" s="63">
        <f t="shared" si="20"/>
        <v>566700826854</v>
      </c>
      <c r="S31" s="63"/>
    </row>
    <row r="32" spans="1:19" x14ac:dyDescent="0.25">
      <c r="A32" s="61">
        <v>19</v>
      </c>
      <c r="B32" s="62" t="s">
        <v>49</v>
      </c>
      <c r="C32" s="63">
        <f t="shared" si="13"/>
        <v>642030823704</v>
      </c>
      <c r="D32" s="63">
        <f t="shared" ref="D32:Q32" si="21">D57+D82</f>
        <v>565138881942</v>
      </c>
      <c r="E32" s="63">
        <f t="shared" si="21"/>
        <v>41507676773</v>
      </c>
      <c r="F32" s="63">
        <f t="shared" si="21"/>
        <v>0</v>
      </c>
      <c r="G32" s="63">
        <f t="shared" si="21"/>
        <v>1636890352</v>
      </c>
      <c r="H32" s="63">
        <f t="shared" si="21"/>
        <v>0</v>
      </c>
      <c r="I32" s="63">
        <f t="shared" si="21"/>
        <v>0</v>
      </c>
      <c r="J32" s="63">
        <f t="shared" si="21"/>
        <v>0</v>
      </c>
      <c r="K32" s="63">
        <f t="shared" si="21"/>
        <v>0</v>
      </c>
      <c r="L32" s="63">
        <f t="shared" si="21"/>
        <v>0</v>
      </c>
      <c r="M32" s="63">
        <f t="shared" si="21"/>
        <v>0</v>
      </c>
      <c r="N32" s="63">
        <f t="shared" si="21"/>
        <v>168592627</v>
      </c>
      <c r="O32" s="63">
        <f t="shared" si="21"/>
        <v>345800000</v>
      </c>
      <c r="P32" s="63">
        <f t="shared" si="21"/>
        <v>33179368010</v>
      </c>
      <c r="Q32" s="63">
        <f t="shared" si="21"/>
        <v>53614000</v>
      </c>
      <c r="R32" s="63">
        <f>R57+R82</f>
        <v>0</v>
      </c>
      <c r="S32" s="63"/>
    </row>
    <row r="33" spans="1:19" x14ac:dyDescent="0.25">
      <c r="A33" s="61">
        <v>20</v>
      </c>
      <c r="B33" s="62" t="s">
        <v>50</v>
      </c>
      <c r="C33" s="63">
        <f t="shared" si="13"/>
        <v>3011935645454</v>
      </c>
      <c r="D33" s="63">
        <f t="shared" ref="D33:R33" si="22">D58+D83</f>
        <v>1731749434166</v>
      </c>
      <c r="E33" s="63">
        <f t="shared" si="22"/>
        <v>159411323101</v>
      </c>
      <c r="F33" s="63">
        <f t="shared" si="22"/>
        <v>4071902750</v>
      </c>
      <c r="G33" s="63">
        <f t="shared" si="22"/>
        <v>27045008701</v>
      </c>
      <c r="H33" s="63">
        <f t="shared" si="22"/>
        <v>131649070435</v>
      </c>
      <c r="I33" s="63">
        <f t="shared" si="22"/>
        <v>2472243486</v>
      </c>
      <c r="J33" s="63">
        <f t="shared" si="22"/>
        <v>5770219538</v>
      </c>
      <c r="K33" s="63">
        <f t="shared" si="22"/>
        <v>694942541469</v>
      </c>
      <c r="L33" s="63">
        <f t="shared" si="22"/>
        <v>1414883000</v>
      </c>
      <c r="M33" s="63">
        <f t="shared" si="22"/>
        <v>43327033401</v>
      </c>
      <c r="N33" s="63">
        <f t="shared" si="22"/>
        <v>2751942564</v>
      </c>
      <c r="O33" s="63">
        <f t="shared" si="22"/>
        <v>0</v>
      </c>
      <c r="P33" s="63">
        <f t="shared" si="22"/>
        <v>590100000</v>
      </c>
      <c r="Q33" s="63">
        <f t="shared" si="22"/>
        <v>0</v>
      </c>
      <c r="R33" s="63">
        <f t="shared" si="22"/>
        <v>206651427323</v>
      </c>
      <c r="S33" s="63"/>
    </row>
    <row r="34" spans="1:19" x14ac:dyDescent="0.25">
      <c r="A34" s="61">
        <v>21</v>
      </c>
      <c r="B34" s="62" t="s">
        <v>51</v>
      </c>
      <c r="C34" s="63">
        <f t="shared" si="13"/>
        <v>978878866218</v>
      </c>
      <c r="D34" s="63">
        <f t="shared" ref="D34:R34" si="23">D59+D84</f>
        <v>285646173693</v>
      </c>
      <c r="E34" s="63">
        <f t="shared" si="23"/>
        <v>3732592793</v>
      </c>
      <c r="F34" s="63">
        <f t="shared" si="23"/>
        <v>16587316227</v>
      </c>
      <c r="G34" s="63">
        <f t="shared" si="23"/>
        <v>1849732383</v>
      </c>
      <c r="H34" s="63">
        <f t="shared" si="23"/>
        <v>67604771491</v>
      </c>
      <c r="I34" s="63">
        <f t="shared" si="23"/>
        <v>0</v>
      </c>
      <c r="J34" s="63">
        <f t="shared" si="23"/>
        <v>4178413191</v>
      </c>
      <c r="K34" s="63">
        <f t="shared" si="23"/>
        <v>212693810000</v>
      </c>
      <c r="L34" s="63">
        <f t="shared" si="23"/>
        <v>16043559140</v>
      </c>
      <c r="M34" s="63">
        <f t="shared" si="23"/>
        <v>21662311857</v>
      </c>
      <c r="N34" s="63">
        <f t="shared" si="23"/>
        <v>7934228017</v>
      </c>
      <c r="O34" s="63">
        <f t="shared" si="23"/>
        <v>3244143916</v>
      </c>
      <c r="P34" s="63">
        <f t="shared" si="23"/>
        <v>0</v>
      </c>
      <c r="Q34" s="63">
        <f t="shared" si="23"/>
        <v>0</v>
      </c>
      <c r="R34" s="63">
        <f t="shared" si="23"/>
        <v>337701813510</v>
      </c>
      <c r="S34" s="63"/>
    </row>
    <row r="35" spans="1:19" x14ac:dyDescent="0.25">
      <c r="A35" s="61">
        <v>22</v>
      </c>
      <c r="B35" s="62" t="s">
        <v>52</v>
      </c>
      <c r="C35" s="63">
        <f t="shared" si="13"/>
        <v>860749370046</v>
      </c>
      <c r="D35" s="63">
        <f t="shared" ref="D35:R35" si="24">D60+D85</f>
        <v>309560910473</v>
      </c>
      <c r="E35" s="63">
        <f t="shared" si="24"/>
        <v>4976537924</v>
      </c>
      <c r="F35" s="63">
        <f t="shared" si="24"/>
        <v>2853608199</v>
      </c>
      <c r="G35" s="63">
        <f t="shared" si="24"/>
        <v>14906240648</v>
      </c>
      <c r="H35" s="63">
        <f t="shared" si="24"/>
        <v>149880814245</v>
      </c>
      <c r="I35" s="63">
        <f t="shared" si="24"/>
        <v>0</v>
      </c>
      <c r="J35" s="63">
        <f t="shared" si="24"/>
        <v>0</v>
      </c>
      <c r="K35" s="63">
        <f t="shared" si="24"/>
        <v>0</v>
      </c>
      <c r="L35" s="63">
        <f t="shared" si="24"/>
        <v>0</v>
      </c>
      <c r="M35" s="63">
        <f t="shared" si="24"/>
        <v>9737201770</v>
      </c>
      <c r="N35" s="63">
        <f t="shared" si="24"/>
        <v>0</v>
      </c>
      <c r="O35" s="63">
        <f t="shared" si="24"/>
        <v>0</v>
      </c>
      <c r="P35" s="63">
        <f t="shared" si="24"/>
        <v>0</v>
      </c>
      <c r="Q35" s="63">
        <f t="shared" si="24"/>
        <v>0</v>
      </c>
      <c r="R35" s="63">
        <f t="shared" si="24"/>
        <v>368834056787</v>
      </c>
      <c r="S35" s="63"/>
    </row>
    <row r="36" spans="1:19" x14ac:dyDescent="0.25">
      <c r="A36" s="61">
        <v>23</v>
      </c>
      <c r="B36" s="62" t="s">
        <v>53</v>
      </c>
      <c r="C36" s="63">
        <f t="shared" si="13"/>
        <v>923085959202</v>
      </c>
      <c r="D36" s="63">
        <f t="shared" ref="D36:R36" si="25">D61+D86</f>
        <v>359574271133</v>
      </c>
      <c r="E36" s="63">
        <f t="shared" si="25"/>
        <v>57502877538</v>
      </c>
      <c r="F36" s="63">
        <f t="shared" si="25"/>
        <v>15179255266</v>
      </c>
      <c r="G36" s="63">
        <f t="shared" si="25"/>
        <v>37689222482</v>
      </c>
      <c r="H36" s="63">
        <f t="shared" si="25"/>
        <v>32495922710</v>
      </c>
      <c r="I36" s="63">
        <f t="shared" si="25"/>
        <v>0</v>
      </c>
      <c r="J36" s="63">
        <f t="shared" si="25"/>
        <v>2894471873</v>
      </c>
      <c r="K36" s="63">
        <f t="shared" si="25"/>
        <v>45794381000</v>
      </c>
      <c r="L36" s="63">
        <f t="shared" si="25"/>
        <v>86151414000</v>
      </c>
      <c r="M36" s="63">
        <f t="shared" si="25"/>
        <v>5032909000</v>
      </c>
      <c r="N36" s="63">
        <f t="shared" si="25"/>
        <v>277220099000</v>
      </c>
      <c r="O36" s="63">
        <f t="shared" si="25"/>
        <v>0</v>
      </c>
      <c r="P36" s="63">
        <f t="shared" si="25"/>
        <v>0</v>
      </c>
      <c r="Q36" s="63">
        <f t="shared" si="25"/>
        <v>807200</v>
      </c>
      <c r="R36" s="63">
        <f t="shared" si="25"/>
        <v>3550328000</v>
      </c>
      <c r="S36" s="63"/>
    </row>
    <row r="37" spans="1:19" x14ac:dyDescent="0.25">
      <c r="A37" s="61">
        <v>24</v>
      </c>
      <c r="B37" s="62" t="s">
        <v>54</v>
      </c>
      <c r="C37" s="63">
        <f t="shared" si="13"/>
        <v>8232614381908</v>
      </c>
      <c r="D37" s="63">
        <f t="shared" ref="D37:R37" si="26">D62+D87</f>
        <v>7977942853321</v>
      </c>
      <c r="E37" s="63">
        <f t="shared" si="26"/>
        <v>21667519693</v>
      </c>
      <c r="F37" s="63">
        <f t="shared" si="26"/>
        <v>23471343365</v>
      </c>
      <c r="G37" s="63">
        <f t="shared" si="26"/>
        <v>37155424967</v>
      </c>
      <c r="H37" s="63">
        <f t="shared" si="26"/>
        <v>90503891631</v>
      </c>
      <c r="I37" s="63">
        <f t="shared" si="26"/>
        <v>7797818</v>
      </c>
      <c r="J37" s="63">
        <f t="shared" si="26"/>
        <v>51747407474</v>
      </c>
      <c r="K37" s="63">
        <f t="shared" si="26"/>
        <v>27079047232</v>
      </c>
      <c r="L37" s="63">
        <f t="shared" si="26"/>
        <v>0</v>
      </c>
      <c r="M37" s="63">
        <f t="shared" si="26"/>
        <v>2580875276</v>
      </c>
      <c r="N37" s="63">
        <f t="shared" si="26"/>
        <v>0</v>
      </c>
      <c r="O37" s="63">
        <f t="shared" si="26"/>
        <v>258221131</v>
      </c>
      <c r="P37" s="63">
        <f t="shared" si="26"/>
        <v>0</v>
      </c>
      <c r="Q37" s="63">
        <f t="shared" si="26"/>
        <v>0</v>
      </c>
      <c r="R37" s="63">
        <f t="shared" si="26"/>
        <v>200000000</v>
      </c>
      <c r="S37" s="63"/>
    </row>
    <row r="38" spans="1:19" x14ac:dyDescent="0.25">
      <c r="A38" s="24"/>
      <c r="B38" s="38"/>
      <c r="C38" s="3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5"/>
      <c r="S38" s="38"/>
    </row>
    <row r="39" spans="1:19" s="66" customFormat="1" x14ac:dyDescent="0.25">
      <c r="A39" s="30">
        <v>1</v>
      </c>
      <c r="B39" s="31" t="s">
        <v>31</v>
      </c>
      <c r="C39" s="31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1:19" x14ac:dyDescent="0.25">
      <c r="A40" s="30">
        <v>2</v>
      </c>
      <c r="B40" s="31" t="s">
        <v>30</v>
      </c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  <row r="41" spans="1:19" ht="24" x14ac:dyDescent="0.25">
      <c r="A41" s="30">
        <v>3</v>
      </c>
      <c r="B41" s="31" t="s">
        <v>32</v>
      </c>
      <c r="C41" s="31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</row>
    <row r="42" spans="1:19" ht="24" x14ac:dyDescent="0.25">
      <c r="A42" s="30">
        <v>4</v>
      </c>
      <c r="B42" s="31" t="s">
        <v>33</v>
      </c>
      <c r="C42" s="31">
        <v>72808537035</v>
      </c>
      <c r="D42" s="32">
        <v>0</v>
      </c>
      <c r="E42" s="32">
        <v>0</v>
      </c>
      <c r="F42" s="32">
        <v>0</v>
      </c>
      <c r="G42" s="32">
        <v>30750862188</v>
      </c>
      <c r="H42" s="32">
        <v>0</v>
      </c>
      <c r="I42" s="32">
        <v>0</v>
      </c>
      <c r="J42" s="32">
        <v>0</v>
      </c>
      <c r="K42" s="32">
        <v>37227614847</v>
      </c>
      <c r="L42" s="32">
        <v>0</v>
      </c>
      <c r="M42" s="32">
        <v>4830060000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/>
    </row>
    <row r="43" spans="1:19" ht="21" customHeight="1" x14ac:dyDescent="0.25">
      <c r="A43" s="30">
        <v>5</v>
      </c>
      <c r="B43" s="31" t="s">
        <v>35</v>
      </c>
      <c r="C43" s="31">
        <v>49019602658.242477</v>
      </c>
      <c r="D43" s="32">
        <v>42697870174.524002</v>
      </c>
      <c r="E43" s="32">
        <v>0</v>
      </c>
      <c r="F43" s="32">
        <v>0</v>
      </c>
      <c r="G43" s="32">
        <v>803029483.71847534</v>
      </c>
      <c r="H43" s="32">
        <v>88220000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5314768000</v>
      </c>
      <c r="P43" s="32">
        <v>0</v>
      </c>
      <c r="Q43" s="32">
        <v>0</v>
      </c>
      <c r="R43" s="32">
        <v>115715000</v>
      </c>
      <c r="S43" s="32"/>
    </row>
    <row r="44" spans="1:19" ht="24" x14ac:dyDescent="0.25">
      <c r="A44" s="30">
        <v>6</v>
      </c>
      <c r="B44" s="31" t="s">
        <v>36</v>
      </c>
      <c r="C44" s="31">
        <v>1849707765</v>
      </c>
      <c r="D44" s="32">
        <v>1552318137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297382628</v>
      </c>
      <c r="N44" s="32">
        <v>0</v>
      </c>
      <c r="O44" s="32">
        <v>0</v>
      </c>
      <c r="P44" s="32">
        <v>0</v>
      </c>
      <c r="Q44" s="32">
        <v>0</v>
      </c>
      <c r="R44" s="32">
        <v>7000</v>
      </c>
      <c r="S44" s="32"/>
    </row>
    <row r="45" spans="1:19" ht="24" x14ac:dyDescent="0.25">
      <c r="A45" s="30">
        <v>7</v>
      </c>
      <c r="B45" s="31" t="s">
        <v>37</v>
      </c>
      <c r="C45" s="31">
        <v>348403769747</v>
      </c>
      <c r="D45" s="32">
        <v>348403769747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/>
    </row>
    <row r="46" spans="1:19" ht="24" x14ac:dyDescent="0.25">
      <c r="A46" s="30">
        <v>8</v>
      </c>
      <c r="B46" s="31" t="s">
        <v>38</v>
      </c>
      <c r="C46" s="31">
        <v>85059326320</v>
      </c>
      <c r="D46" s="32">
        <v>77360745530</v>
      </c>
      <c r="E46" s="32">
        <v>0</v>
      </c>
      <c r="F46" s="32"/>
      <c r="G46" s="32">
        <v>50303000</v>
      </c>
      <c r="H46" s="32"/>
      <c r="I46" s="32"/>
      <c r="J46" s="32">
        <v>0</v>
      </c>
      <c r="K46" s="32">
        <v>6384961000</v>
      </c>
      <c r="L46" s="32">
        <v>0</v>
      </c>
      <c r="M46" s="32"/>
      <c r="N46" s="32">
        <v>0</v>
      </c>
      <c r="O46" s="32">
        <v>0</v>
      </c>
      <c r="P46" s="32">
        <v>0</v>
      </c>
      <c r="Q46" s="32">
        <v>0</v>
      </c>
      <c r="R46" s="32">
        <v>1263316790</v>
      </c>
      <c r="S46" s="32"/>
    </row>
    <row r="47" spans="1:19" ht="24" x14ac:dyDescent="0.25">
      <c r="A47" s="30">
        <v>9</v>
      </c>
      <c r="B47" s="31" t="s">
        <v>39</v>
      </c>
      <c r="C47" s="31">
        <v>635362080099</v>
      </c>
      <c r="D47" s="32">
        <v>561342088766</v>
      </c>
      <c r="E47" s="32">
        <v>0</v>
      </c>
      <c r="F47" s="32">
        <v>0</v>
      </c>
      <c r="G47" s="32">
        <v>0</v>
      </c>
      <c r="H47" s="32">
        <v>4954332827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163084000</v>
      </c>
      <c r="O47" s="32">
        <v>0</v>
      </c>
      <c r="P47" s="32">
        <v>0</v>
      </c>
      <c r="Q47" s="32">
        <v>0</v>
      </c>
      <c r="R47" s="32">
        <v>68902574506</v>
      </c>
      <c r="S47" s="32"/>
    </row>
    <row r="48" spans="1:19" ht="24" x14ac:dyDescent="0.25">
      <c r="A48" s="30">
        <v>10</v>
      </c>
      <c r="B48" s="31" t="s">
        <v>40</v>
      </c>
      <c r="C48" s="31">
        <v>17014949595.999998</v>
      </c>
      <c r="D48" s="32">
        <v>8427943277</v>
      </c>
      <c r="E48" s="32">
        <v>0</v>
      </c>
      <c r="F48" s="32">
        <v>0</v>
      </c>
      <c r="G48" s="32">
        <v>0</v>
      </c>
      <c r="H48" s="32">
        <v>7155210668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1431795651</v>
      </c>
      <c r="S48" s="32"/>
    </row>
    <row r="49" spans="1:19" ht="24" x14ac:dyDescent="0.25">
      <c r="A49" s="30">
        <v>11</v>
      </c>
      <c r="B49" s="31" t="s">
        <v>41</v>
      </c>
      <c r="C49" s="31">
        <v>19894849854</v>
      </c>
      <c r="D49" s="32">
        <v>0</v>
      </c>
      <c r="E49" s="32">
        <v>306712409</v>
      </c>
      <c r="F49" s="32">
        <v>0</v>
      </c>
      <c r="G49" s="32">
        <v>1744002905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7894070234</v>
      </c>
      <c r="P49" s="32">
        <v>0</v>
      </c>
      <c r="Q49" s="32">
        <v>0</v>
      </c>
      <c r="R49" s="32">
        <v>9950064306</v>
      </c>
      <c r="S49" s="32"/>
    </row>
    <row r="50" spans="1:19" x14ac:dyDescent="0.25">
      <c r="A50" s="30">
        <v>12</v>
      </c>
      <c r="B50" s="31" t="s">
        <v>42</v>
      </c>
      <c r="C50" s="31">
        <v>682720047688</v>
      </c>
      <c r="D50" s="32">
        <v>504207835791.00006</v>
      </c>
      <c r="E50" s="32">
        <v>12512199999.999998</v>
      </c>
      <c r="F50" s="32">
        <v>0</v>
      </c>
      <c r="G50" s="32">
        <v>2631467220</v>
      </c>
      <c r="H50" s="32">
        <v>20044634282</v>
      </c>
      <c r="I50" s="32">
        <v>0</v>
      </c>
      <c r="J50" s="32">
        <v>0</v>
      </c>
      <c r="K50" s="32">
        <v>8115154079</v>
      </c>
      <c r="L50" s="32">
        <v>0</v>
      </c>
      <c r="M50" s="32">
        <v>190000000</v>
      </c>
      <c r="N50" s="32">
        <v>7043392112</v>
      </c>
      <c r="O50" s="32">
        <v>44653549746.000008</v>
      </c>
      <c r="P50" s="32">
        <v>0</v>
      </c>
      <c r="Q50" s="32">
        <v>0</v>
      </c>
      <c r="R50" s="32">
        <v>83324814458.000015</v>
      </c>
      <c r="S50" s="32"/>
    </row>
    <row r="51" spans="1:19" x14ac:dyDescent="0.25">
      <c r="A51" s="30">
        <v>13</v>
      </c>
      <c r="B51" s="31" t="s">
        <v>43</v>
      </c>
      <c r="C51" s="31">
        <v>162469874161</v>
      </c>
      <c r="D51" s="32">
        <v>162197453997</v>
      </c>
      <c r="E51" s="32">
        <v>0</v>
      </c>
      <c r="F51" s="32">
        <v>0</v>
      </c>
      <c r="G51" s="32">
        <v>272420164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/>
    </row>
    <row r="52" spans="1:19" x14ac:dyDescent="0.25">
      <c r="A52" s="30">
        <v>14</v>
      </c>
      <c r="B52" s="31" t="s">
        <v>44</v>
      </c>
      <c r="C52" s="31">
        <v>292271418494</v>
      </c>
      <c r="D52" s="32">
        <v>262454455443</v>
      </c>
      <c r="E52" s="32">
        <v>0</v>
      </c>
      <c r="F52" s="32">
        <v>0</v>
      </c>
      <c r="G52" s="32">
        <v>0</v>
      </c>
      <c r="H52" s="32">
        <v>868548828</v>
      </c>
      <c r="I52" s="32">
        <v>0</v>
      </c>
      <c r="J52" s="32">
        <v>0</v>
      </c>
      <c r="K52" s="32">
        <v>28948414223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/>
    </row>
    <row r="53" spans="1:19" x14ac:dyDescent="0.25">
      <c r="A53" s="30">
        <v>15</v>
      </c>
      <c r="B53" s="31" t="s">
        <v>45</v>
      </c>
      <c r="C53" s="31">
        <v>373627829934</v>
      </c>
      <c r="D53" s="32">
        <v>319557039994</v>
      </c>
      <c r="E53" s="32">
        <v>13638628994</v>
      </c>
      <c r="F53" s="32">
        <v>0</v>
      </c>
      <c r="G53" s="32">
        <v>4471036369</v>
      </c>
      <c r="H53" s="32">
        <v>3790298520</v>
      </c>
      <c r="I53" s="32">
        <v>0</v>
      </c>
      <c r="J53" s="32">
        <v>0</v>
      </c>
      <c r="K53" s="32">
        <v>3992439771</v>
      </c>
      <c r="L53" s="32">
        <v>0</v>
      </c>
      <c r="M53" s="32">
        <v>28140824018</v>
      </c>
      <c r="N53" s="32">
        <v>0</v>
      </c>
      <c r="O53" s="32">
        <v>37562268</v>
      </c>
      <c r="P53" s="32">
        <v>0</v>
      </c>
      <c r="Q53" s="32">
        <v>0</v>
      </c>
      <c r="R53" s="32">
        <v>0</v>
      </c>
      <c r="S53" s="32"/>
    </row>
    <row r="54" spans="1:19" x14ac:dyDescent="0.25">
      <c r="A54" s="30">
        <v>16</v>
      </c>
      <c r="B54" s="31" t="s">
        <v>46</v>
      </c>
      <c r="C54" s="31">
        <v>122273721256</v>
      </c>
      <c r="D54" s="32">
        <v>69367837531</v>
      </c>
      <c r="E54" s="32">
        <v>0</v>
      </c>
      <c r="F54" s="32">
        <v>0</v>
      </c>
      <c r="G54" s="32">
        <v>0</v>
      </c>
      <c r="H54" s="32">
        <v>8405883725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/>
      <c r="R54" s="32">
        <v>44500000000</v>
      </c>
      <c r="S54" s="32"/>
    </row>
    <row r="55" spans="1:19" x14ac:dyDescent="0.25">
      <c r="A55" s="30">
        <v>17</v>
      </c>
      <c r="B55" s="31" t="s">
        <v>47</v>
      </c>
      <c r="C55" s="31">
        <v>34764765793</v>
      </c>
      <c r="D55" s="32">
        <v>0</v>
      </c>
      <c r="E55" s="32">
        <v>0</v>
      </c>
      <c r="F55" s="32">
        <v>0</v>
      </c>
      <c r="G55" s="32">
        <v>3136422000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31628343793</v>
      </c>
      <c r="S55" s="32"/>
    </row>
    <row r="56" spans="1:19" x14ac:dyDescent="0.25">
      <c r="A56" s="30">
        <v>18</v>
      </c>
      <c r="B56" s="31" t="s">
        <v>48</v>
      </c>
      <c r="C56" s="31">
        <v>302711231927</v>
      </c>
      <c r="D56" s="32">
        <v>25182714683</v>
      </c>
      <c r="E56" s="32">
        <v>185201646</v>
      </c>
      <c r="F56" s="32">
        <v>0</v>
      </c>
      <c r="G56" s="32"/>
      <c r="H56" s="32">
        <v>665005598</v>
      </c>
      <c r="I56" s="32">
        <v>8598910000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268079400000</v>
      </c>
      <c r="S56" s="32"/>
    </row>
    <row r="57" spans="1:19" x14ac:dyDescent="0.25">
      <c r="A57" s="30">
        <v>19</v>
      </c>
      <c r="B57" s="31" t="s">
        <v>49</v>
      </c>
      <c r="C57" s="31">
        <v>34768334276</v>
      </c>
      <c r="D57" s="32">
        <v>33634568276</v>
      </c>
      <c r="E57" s="32">
        <v>1133766000</v>
      </c>
      <c r="F57" s="32"/>
      <c r="G57" s="32">
        <v>0</v>
      </c>
      <c r="H57" s="32"/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</row>
    <row r="58" spans="1:19" x14ac:dyDescent="0.25">
      <c r="A58" s="30">
        <v>20</v>
      </c>
      <c r="B58" s="31" t="s">
        <v>50</v>
      </c>
      <c r="C58" s="31">
        <v>220881659728</v>
      </c>
      <c r="D58" s="32">
        <v>206712633382</v>
      </c>
      <c r="E58" s="32">
        <v>5247947802</v>
      </c>
      <c r="F58" s="32"/>
      <c r="G58" s="32">
        <v>0</v>
      </c>
      <c r="H58" s="32"/>
      <c r="I58" s="32">
        <v>2472243486</v>
      </c>
      <c r="J58" s="32">
        <v>5770219538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590100000</v>
      </c>
      <c r="Q58" s="32">
        <v>0</v>
      </c>
      <c r="R58" s="32">
        <v>0</v>
      </c>
      <c r="S58" s="32">
        <v>0</v>
      </c>
    </row>
    <row r="59" spans="1:19" x14ac:dyDescent="0.25">
      <c r="A59" s="30">
        <v>21</v>
      </c>
      <c r="B59" s="31" t="s">
        <v>51</v>
      </c>
      <c r="C59" s="31">
        <v>74587178126</v>
      </c>
      <c r="D59" s="32">
        <v>60929378687</v>
      </c>
      <c r="E59" s="32">
        <v>0</v>
      </c>
      <c r="F59" s="32">
        <v>0</v>
      </c>
      <c r="G59" s="32">
        <v>12734000</v>
      </c>
      <c r="H59" s="32">
        <v>10769749782</v>
      </c>
      <c r="I59" s="32">
        <v>0</v>
      </c>
      <c r="J59" s="32">
        <v>0</v>
      </c>
      <c r="K59" s="32">
        <v>2003510000</v>
      </c>
      <c r="L59" s="32">
        <v>0</v>
      </c>
      <c r="M59" s="32">
        <v>769584000</v>
      </c>
      <c r="N59" s="32">
        <v>102221657</v>
      </c>
      <c r="O59" s="32">
        <v>0</v>
      </c>
      <c r="P59" s="32">
        <v>0</v>
      </c>
      <c r="Q59" s="32">
        <v>0</v>
      </c>
      <c r="R59" s="32">
        <v>0</v>
      </c>
      <c r="S59" s="32"/>
    </row>
    <row r="60" spans="1:19" x14ac:dyDescent="0.25">
      <c r="A60" s="30">
        <v>22</v>
      </c>
      <c r="B60" s="31" t="s">
        <v>52</v>
      </c>
      <c r="C60" s="31">
        <v>70212887448</v>
      </c>
      <c r="D60" s="32">
        <v>8835579448</v>
      </c>
      <c r="E60" s="32">
        <v>0</v>
      </c>
      <c r="F60" s="32">
        <v>0</v>
      </c>
      <c r="G60" s="32">
        <v>0</v>
      </c>
      <c r="H60" s="32">
        <v>61377308000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/>
    </row>
    <row r="61" spans="1:19" x14ac:dyDescent="0.25">
      <c r="A61" s="30">
        <v>23</v>
      </c>
      <c r="B61" s="31" t="s">
        <v>53</v>
      </c>
      <c r="C61" s="31">
        <v>197995000857</v>
      </c>
      <c r="D61" s="32">
        <v>146014361857</v>
      </c>
      <c r="E61" s="32">
        <v>49446403000</v>
      </c>
      <c r="F61" s="32">
        <v>0</v>
      </c>
      <c r="G61" s="32">
        <v>0</v>
      </c>
      <c r="H61" s="32">
        <v>2442325000</v>
      </c>
      <c r="I61" s="32">
        <v>0</v>
      </c>
      <c r="J61" s="32">
        <v>0</v>
      </c>
      <c r="K61" s="32">
        <v>0</v>
      </c>
      <c r="L61" s="32">
        <v>0</v>
      </c>
      <c r="M61" s="32">
        <v>91911000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/>
    </row>
    <row r="62" spans="1:19" x14ac:dyDescent="0.25">
      <c r="A62" s="30">
        <v>24</v>
      </c>
      <c r="B62" s="31" t="s">
        <v>54</v>
      </c>
      <c r="C62" s="31">
        <v>4516931491612</v>
      </c>
      <c r="D62" s="32">
        <v>4470372234268</v>
      </c>
      <c r="E62" s="32">
        <v>0</v>
      </c>
      <c r="F62" s="32">
        <v>0</v>
      </c>
      <c r="G62" s="32">
        <v>2877500</v>
      </c>
      <c r="H62" s="32">
        <v>46556379844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/>
    </row>
    <row r="63" spans="1:19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</row>
    <row r="64" spans="1:19" s="66" customFormat="1" x14ac:dyDescent="0.25">
      <c r="A64" s="28">
        <v>1</v>
      </c>
      <c r="B64" s="33" t="s">
        <v>31</v>
      </c>
      <c r="C64" s="31">
        <v>35346143000</v>
      </c>
      <c r="D64" s="31">
        <v>33537511000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1808632000</v>
      </c>
      <c r="S64" s="68"/>
    </row>
    <row r="65" spans="1:19" x14ac:dyDescent="0.25">
      <c r="A65" s="28">
        <v>2</v>
      </c>
      <c r="B65" s="33" t="s">
        <v>30</v>
      </c>
      <c r="C65" s="32">
        <v>30703734196</v>
      </c>
      <c r="D65" s="32"/>
      <c r="E65" s="34"/>
      <c r="F65" s="34"/>
      <c r="G65" s="34"/>
      <c r="H65" s="34"/>
      <c r="I65" s="34"/>
      <c r="J65" s="34"/>
      <c r="K65" s="34"/>
      <c r="L65" s="34"/>
      <c r="M65" s="34">
        <v>31698000</v>
      </c>
      <c r="N65" s="34"/>
      <c r="O65" s="34"/>
      <c r="P65" s="34"/>
      <c r="Q65" s="34"/>
      <c r="R65" s="34">
        <v>30672036196</v>
      </c>
      <c r="S65" s="60"/>
    </row>
    <row r="66" spans="1:19" ht="24" x14ac:dyDescent="0.25">
      <c r="A66" s="28">
        <v>3</v>
      </c>
      <c r="B66" s="31" t="s">
        <v>32</v>
      </c>
      <c r="C66" s="30">
        <v>287000000</v>
      </c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>
        <v>287000000</v>
      </c>
      <c r="S66" s="60"/>
    </row>
    <row r="67" spans="1:19" ht="24" x14ac:dyDescent="0.25">
      <c r="A67" s="28">
        <v>4</v>
      </c>
      <c r="B67" s="31" t="s">
        <v>33</v>
      </c>
      <c r="C67" s="35">
        <v>920372684730</v>
      </c>
      <c r="D67" s="31">
        <v>97092695677</v>
      </c>
      <c r="E67" s="31">
        <v>197215305985</v>
      </c>
      <c r="F67" s="30">
        <v>0</v>
      </c>
      <c r="G67" s="30">
        <v>55379961783</v>
      </c>
      <c r="H67" s="30">
        <v>17851887958</v>
      </c>
      <c r="I67" s="30">
        <v>0</v>
      </c>
      <c r="J67" s="30">
        <v>0</v>
      </c>
      <c r="K67" s="30">
        <v>313304642968</v>
      </c>
      <c r="L67" s="30">
        <v>0</v>
      </c>
      <c r="M67" s="30">
        <v>10012218651</v>
      </c>
      <c r="N67" s="30">
        <v>137903441099</v>
      </c>
      <c r="O67" s="30">
        <v>0</v>
      </c>
      <c r="P67" s="30">
        <v>0</v>
      </c>
      <c r="Q67" s="30">
        <v>0</v>
      </c>
      <c r="R67" s="30">
        <v>91781457411</v>
      </c>
      <c r="S67" s="60"/>
    </row>
    <row r="68" spans="1:19" ht="24" x14ac:dyDescent="0.25">
      <c r="A68" s="28">
        <v>5</v>
      </c>
      <c r="B68" s="31" t="s">
        <v>35</v>
      </c>
      <c r="C68" s="35">
        <v>760697079474.16064</v>
      </c>
      <c r="D68" s="31">
        <v>124368477356.16948</v>
      </c>
      <c r="E68" s="31">
        <v>564209681093</v>
      </c>
      <c r="F68" s="30">
        <v>0</v>
      </c>
      <c r="G68" s="30">
        <v>9182176949</v>
      </c>
      <c r="H68" s="30">
        <v>33781060000</v>
      </c>
      <c r="I68" s="30">
        <v>0</v>
      </c>
      <c r="J68" s="30">
        <v>0</v>
      </c>
      <c r="K68" s="30">
        <v>0</v>
      </c>
      <c r="L68" s="30">
        <v>0</v>
      </c>
      <c r="M68" s="30">
        <v>795467159.99104786</v>
      </c>
      <c r="N68" s="30">
        <v>0</v>
      </c>
      <c r="O68" s="30">
        <v>8968659000</v>
      </c>
      <c r="P68" s="36">
        <v>0</v>
      </c>
      <c r="Q68" s="30">
        <v>1028225185.9999999</v>
      </c>
      <c r="R68" s="30">
        <v>18363332730</v>
      </c>
      <c r="S68" s="60"/>
    </row>
    <row r="69" spans="1:19" ht="24" x14ac:dyDescent="0.25">
      <c r="A69" s="28">
        <v>6</v>
      </c>
      <c r="B69" s="31" t="s">
        <v>36</v>
      </c>
      <c r="C69" s="31">
        <v>3537575708683</v>
      </c>
      <c r="D69" s="31">
        <v>78721095094</v>
      </c>
      <c r="E69" s="31">
        <v>3084578602965</v>
      </c>
      <c r="F69" s="30">
        <v>0</v>
      </c>
      <c r="G69" s="30">
        <v>0</v>
      </c>
      <c r="H69" s="30">
        <v>54172784</v>
      </c>
      <c r="I69" s="30">
        <v>0</v>
      </c>
      <c r="J69" s="30">
        <v>0</v>
      </c>
      <c r="K69" s="30">
        <v>5115188000</v>
      </c>
      <c r="L69" s="30">
        <v>0</v>
      </c>
      <c r="M69" s="30">
        <v>492086738</v>
      </c>
      <c r="N69" s="30">
        <v>0</v>
      </c>
      <c r="O69" s="30">
        <v>34795832836</v>
      </c>
      <c r="P69" s="30">
        <v>0</v>
      </c>
      <c r="Q69" s="30">
        <v>110959474887</v>
      </c>
      <c r="R69" s="30">
        <v>222859255379</v>
      </c>
      <c r="S69" s="60"/>
    </row>
    <row r="70" spans="1:19" ht="24" x14ac:dyDescent="0.25">
      <c r="A70" s="28">
        <v>7</v>
      </c>
      <c r="B70" s="31" t="s">
        <v>37</v>
      </c>
      <c r="C70" s="31">
        <v>657927537898.85535</v>
      </c>
      <c r="D70" s="31">
        <v>533022752994.85535</v>
      </c>
      <c r="E70" s="31">
        <v>6250169576</v>
      </c>
      <c r="F70" s="30">
        <v>0</v>
      </c>
      <c r="G70" s="30">
        <v>3656602446.9999995</v>
      </c>
      <c r="H70" s="30">
        <v>85972951508.999985</v>
      </c>
      <c r="I70" s="30">
        <v>0</v>
      </c>
      <c r="J70" s="30">
        <v>0</v>
      </c>
      <c r="K70" s="30">
        <v>16964688639</v>
      </c>
      <c r="L70" s="30">
        <v>0</v>
      </c>
      <c r="M70" s="30">
        <v>7703128731.000001</v>
      </c>
      <c r="N70" s="30">
        <v>105339000</v>
      </c>
      <c r="O70" s="30">
        <v>4251905001.9999995</v>
      </c>
      <c r="P70" s="30">
        <v>0</v>
      </c>
      <c r="Q70" s="30">
        <v>0</v>
      </c>
      <c r="R70" s="30">
        <v>0</v>
      </c>
      <c r="S70" s="60"/>
    </row>
    <row r="71" spans="1:19" ht="24" x14ac:dyDescent="0.25">
      <c r="A71" s="28">
        <v>8</v>
      </c>
      <c r="B71" s="31" t="s">
        <v>38</v>
      </c>
      <c r="C71" s="31">
        <v>6662324337203</v>
      </c>
      <c r="D71" s="31">
        <v>282139506688</v>
      </c>
      <c r="E71" s="31">
        <v>114789000</v>
      </c>
      <c r="F71" s="31">
        <v>1192159578</v>
      </c>
      <c r="G71" s="31">
        <v>343165422548</v>
      </c>
      <c r="H71" s="31">
        <v>12428786448</v>
      </c>
      <c r="I71" s="31">
        <v>1894000</v>
      </c>
      <c r="J71" s="31">
        <v>40733332000</v>
      </c>
      <c r="K71" s="31">
        <v>1089396725143</v>
      </c>
      <c r="L71" s="31">
        <v>57517363000</v>
      </c>
      <c r="M71" s="31">
        <v>448752363139</v>
      </c>
      <c r="N71" s="31">
        <v>44810406866</v>
      </c>
      <c r="O71" s="31">
        <v>1605788705336</v>
      </c>
      <c r="P71" s="31">
        <v>30900610000</v>
      </c>
      <c r="Q71" s="31">
        <v>25459512059</v>
      </c>
      <c r="R71" s="31">
        <v>2679922761398</v>
      </c>
      <c r="S71" s="60"/>
    </row>
    <row r="72" spans="1:19" ht="24" x14ac:dyDescent="0.25">
      <c r="A72" s="28">
        <v>9</v>
      </c>
      <c r="B72" s="31" t="s">
        <v>39</v>
      </c>
      <c r="C72" s="31">
        <v>7501692669827</v>
      </c>
      <c r="D72" s="31">
        <v>39116536103</v>
      </c>
      <c r="E72" s="31">
        <v>92055262580</v>
      </c>
      <c r="F72" s="30">
        <v>1109430431422</v>
      </c>
      <c r="G72" s="30">
        <v>2086341464003</v>
      </c>
      <c r="H72" s="30">
        <v>38961034189</v>
      </c>
      <c r="I72" s="30">
        <v>0</v>
      </c>
      <c r="J72" s="30">
        <v>0</v>
      </c>
      <c r="K72" s="30">
        <v>2730438210840</v>
      </c>
      <c r="L72" s="30">
        <v>0</v>
      </c>
      <c r="M72" s="30">
        <v>962097359060</v>
      </c>
      <c r="N72" s="30">
        <v>54519997019</v>
      </c>
      <c r="O72" s="30">
        <v>10351059104</v>
      </c>
      <c r="P72" s="30">
        <v>0</v>
      </c>
      <c r="Q72" s="30">
        <v>46132034196</v>
      </c>
      <c r="R72" s="30">
        <v>332249281311</v>
      </c>
      <c r="S72" s="60"/>
    </row>
    <row r="73" spans="1:19" ht="24" x14ac:dyDescent="0.25">
      <c r="A73" s="28">
        <v>10</v>
      </c>
      <c r="B73" s="31" t="s">
        <v>40</v>
      </c>
      <c r="C73" s="31">
        <v>267985856602.99997</v>
      </c>
      <c r="D73" s="31">
        <v>1446388751.0000005</v>
      </c>
      <c r="E73" s="31">
        <v>0</v>
      </c>
      <c r="F73" s="31">
        <v>0</v>
      </c>
      <c r="G73" s="31">
        <v>2670092464</v>
      </c>
      <c r="H73" s="31">
        <v>29127790.999999888</v>
      </c>
      <c r="I73" s="31">
        <v>0</v>
      </c>
      <c r="J73" s="31">
        <v>0</v>
      </c>
      <c r="K73" s="31">
        <v>0</v>
      </c>
      <c r="L73" s="31">
        <v>0</v>
      </c>
      <c r="M73" s="31">
        <v>12580015381</v>
      </c>
      <c r="N73" s="31">
        <v>0</v>
      </c>
      <c r="O73" s="31">
        <v>0</v>
      </c>
      <c r="P73" s="31">
        <v>0</v>
      </c>
      <c r="Q73" s="31">
        <v>0</v>
      </c>
      <c r="R73" s="31">
        <v>251260232212</v>
      </c>
      <c r="S73" s="60"/>
    </row>
    <row r="74" spans="1:19" ht="24" x14ac:dyDescent="0.25">
      <c r="A74" s="28">
        <v>11</v>
      </c>
      <c r="B74" s="31" t="s">
        <v>41</v>
      </c>
      <c r="C74" s="32">
        <v>2552316120235</v>
      </c>
      <c r="D74" s="32">
        <v>2437291840243</v>
      </c>
      <c r="E74" s="32">
        <v>2729924420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101251939269</v>
      </c>
      <c r="L74" s="32">
        <v>0</v>
      </c>
      <c r="M74" s="32">
        <v>0</v>
      </c>
      <c r="N74" s="32">
        <v>190324526</v>
      </c>
      <c r="O74" s="32">
        <v>0</v>
      </c>
      <c r="P74" s="32">
        <v>0</v>
      </c>
      <c r="Q74" s="32">
        <v>0</v>
      </c>
      <c r="R74" s="32">
        <v>10852091777</v>
      </c>
      <c r="S74" s="60"/>
    </row>
    <row r="75" spans="1:19" x14ac:dyDescent="0.25">
      <c r="A75" s="28">
        <v>12</v>
      </c>
      <c r="B75" s="31" t="s">
        <v>42</v>
      </c>
      <c r="C75" s="31">
        <v>10631670387227.844</v>
      </c>
      <c r="D75" s="32">
        <v>7012022167812.2012</v>
      </c>
      <c r="E75" s="32">
        <v>135043614431.99997</v>
      </c>
      <c r="F75" s="32">
        <v>37905234080.000008</v>
      </c>
      <c r="G75" s="32">
        <v>17795606209</v>
      </c>
      <c r="H75" s="32">
        <v>126154372368.19165</v>
      </c>
      <c r="I75" s="32">
        <v>0</v>
      </c>
      <c r="J75" s="32">
        <v>503400000</v>
      </c>
      <c r="K75" s="32">
        <v>325231909572</v>
      </c>
      <c r="L75" s="32">
        <v>72211486382</v>
      </c>
      <c r="M75" s="32">
        <v>9117304007</v>
      </c>
      <c r="N75" s="32">
        <v>719084130319.99988</v>
      </c>
      <c r="O75" s="32">
        <v>947588628804.44983</v>
      </c>
      <c r="P75" s="32">
        <v>0</v>
      </c>
      <c r="Q75" s="32">
        <v>711988636</v>
      </c>
      <c r="R75" s="32">
        <v>1228294544605</v>
      </c>
      <c r="S75" s="60"/>
    </row>
    <row r="76" spans="1:19" x14ac:dyDescent="0.25">
      <c r="A76" s="28">
        <v>13</v>
      </c>
      <c r="B76" s="31" t="s">
        <v>43</v>
      </c>
      <c r="C76" s="31">
        <v>465982036344</v>
      </c>
      <c r="D76" s="32">
        <v>344917840246</v>
      </c>
      <c r="E76" s="32">
        <v>36959168400</v>
      </c>
      <c r="F76" s="32">
        <v>9326098374</v>
      </c>
      <c r="G76" s="32">
        <v>2399125235</v>
      </c>
      <c r="H76" s="32">
        <v>3202561177</v>
      </c>
      <c r="I76" s="32">
        <v>0</v>
      </c>
      <c r="J76" s="32">
        <v>9747000000</v>
      </c>
      <c r="K76" s="32">
        <v>10209679000</v>
      </c>
      <c r="L76" s="32">
        <v>0</v>
      </c>
      <c r="M76" s="32">
        <v>21629241136</v>
      </c>
      <c r="N76" s="32">
        <v>14739888206</v>
      </c>
      <c r="O76" s="32">
        <v>45893000</v>
      </c>
      <c r="P76" s="32">
        <v>0</v>
      </c>
      <c r="Q76" s="32">
        <v>1162937530</v>
      </c>
      <c r="R76" s="32">
        <v>11642604040</v>
      </c>
      <c r="S76" s="60"/>
    </row>
    <row r="77" spans="1:19" x14ac:dyDescent="0.25">
      <c r="A77" s="28">
        <v>14</v>
      </c>
      <c r="B77" s="31" t="s">
        <v>44</v>
      </c>
      <c r="C77" s="31">
        <v>845824503751.9989</v>
      </c>
      <c r="D77" s="32">
        <v>443932497256.99908</v>
      </c>
      <c r="E77" s="32">
        <v>39165985493</v>
      </c>
      <c r="F77" s="32">
        <v>24243012422.000004</v>
      </c>
      <c r="G77" s="32">
        <v>48624160715</v>
      </c>
      <c r="H77" s="32">
        <v>7427356999.999999</v>
      </c>
      <c r="I77" s="32">
        <v>0</v>
      </c>
      <c r="J77" s="32">
        <v>1524025.9999999993</v>
      </c>
      <c r="K77" s="32">
        <v>271713868672</v>
      </c>
      <c r="L77" s="32">
        <v>0</v>
      </c>
      <c r="M77" s="32">
        <v>2938150963</v>
      </c>
      <c r="N77" s="32">
        <v>0</v>
      </c>
      <c r="O77" s="32">
        <v>0</v>
      </c>
      <c r="P77" s="32">
        <v>0</v>
      </c>
      <c r="Q77" s="32">
        <v>0</v>
      </c>
      <c r="R77" s="32">
        <v>7777947204</v>
      </c>
      <c r="S77" s="60"/>
    </row>
    <row r="78" spans="1:19" x14ac:dyDescent="0.25">
      <c r="A78" s="28">
        <v>15</v>
      </c>
      <c r="B78" s="31" t="s">
        <v>45</v>
      </c>
      <c r="C78" s="31">
        <v>11184657126670.004</v>
      </c>
      <c r="D78" s="32">
        <v>4422120844185</v>
      </c>
      <c r="E78" s="32">
        <v>30637891393.000004</v>
      </c>
      <c r="F78" s="32">
        <v>65849629015</v>
      </c>
      <c r="G78" s="32">
        <v>82473077604</v>
      </c>
      <c r="H78" s="32">
        <v>31242773872.999996</v>
      </c>
      <c r="I78" s="32">
        <v>0</v>
      </c>
      <c r="J78" s="32">
        <v>37186175450</v>
      </c>
      <c r="K78" s="32">
        <v>3529735888057.0005</v>
      </c>
      <c r="L78" s="32">
        <v>51493805531.000008</v>
      </c>
      <c r="M78" s="32">
        <v>38840087206.999992</v>
      </c>
      <c r="N78" s="32">
        <v>163709117349.00003</v>
      </c>
      <c r="O78" s="32">
        <v>257219000</v>
      </c>
      <c r="P78" s="32">
        <v>0</v>
      </c>
      <c r="Q78" s="32">
        <v>105370872062.99998</v>
      </c>
      <c r="R78" s="32">
        <v>2625739745943.001</v>
      </c>
      <c r="S78" s="60"/>
    </row>
    <row r="79" spans="1:19" x14ac:dyDescent="0.25">
      <c r="A79" s="28">
        <v>16</v>
      </c>
      <c r="B79" s="31" t="s">
        <v>46</v>
      </c>
      <c r="C79" s="31">
        <v>426240921017</v>
      </c>
      <c r="D79" s="32">
        <v>327477128337</v>
      </c>
      <c r="E79" s="32">
        <v>10051362857</v>
      </c>
      <c r="F79" s="32">
        <v>15556404483</v>
      </c>
      <c r="G79" s="32">
        <v>8570054824</v>
      </c>
      <c r="H79" s="32">
        <v>29167806561</v>
      </c>
      <c r="I79" s="32">
        <v>0</v>
      </c>
      <c r="J79" s="32">
        <v>0</v>
      </c>
      <c r="K79" s="32">
        <v>23499781521</v>
      </c>
      <c r="L79" s="32">
        <v>0</v>
      </c>
      <c r="M79" s="32">
        <v>3950512154</v>
      </c>
      <c r="N79" s="32">
        <v>4902847371</v>
      </c>
      <c r="O79" s="32">
        <v>1379575759</v>
      </c>
      <c r="P79" s="32">
        <v>0</v>
      </c>
      <c r="Q79" s="32"/>
      <c r="R79" s="32">
        <v>1685447150</v>
      </c>
      <c r="S79" s="60"/>
    </row>
    <row r="80" spans="1:19" x14ac:dyDescent="0.25">
      <c r="A80" s="28">
        <v>17</v>
      </c>
      <c r="B80" s="31" t="s">
        <v>47</v>
      </c>
      <c r="C80" s="31">
        <v>1124216000160.2</v>
      </c>
      <c r="D80" s="32">
        <v>566454683831.59998</v>
      </c>
      <c r="E80" s="32">
        <v>7669393659</v>
      </c>
      <c r="F80" s="32">
        <v>3988633411</v>
      </c>
      <c r="G80" s="32">
        <v>126231578628</v>
      </c>
      <c r="H80" s="32">
        <v>15599802927.6</v>
      </c>
      <c r="I80" s="32"/>
      <c r="J80" s="32">
        <v>7148689500</v>
      </c>
      <c r="K80" s="32">
        <v>15004336300</v>
      </c>
      <c r="L80" s="32"/>
      <c r="M80" s="32">
        <v>525250297</v>
      </c>
      <c r="N80" s="32">
        <v>34647181947</v>
      </c>
      <c r="O80" s="32"/>
      <c r="P80" s="32"/>
      <c r="Q80" s="32"/>
      <c r="R80" s="32">
        <v>346946449659</v>
      </c>
      <c r="S80" s="60"/>
    </row>
    <row r="81" spans="1:19" x14ac:dyDescent="0.25">
      <c r="A81" s="28">
        <v>18</v>
      </c>
      <c r="B81" s="31" t="s">
        <v>48</v>
      </c>
      <c r="C81" s="31">
        <v>1128375100398</v>
      </c>
      <c r="D81" s="32">
        <v>445613366465</v>
      </c>
      <c r="E81" s="32">
        <v>49394658145</v>
      </c>
      <c r="F81" s="32">
        <v>14710044444</v>
      </c>
      <c r="G81" s="32"/>
      <c r="H81" s="32">
        <v>60273145521</v>
      </c>
      <c r="I81" s="32">
        <v>11171420659</v>
      </c>
      <c r="J81" s="32">
        <v>0</v>
      </c>
      <c r="K81" s="32">
        <v>0</v>
      </c>
      <c r="L81" s="32">
        <v>242304664823</v>
      </c>
      <c r="M81" s="32">
        <v>0</v>
      </c>
      <c r="N81" s="32">
        <v>6286373487</v>
      </c>
      <c r="O81" s="32">
        <v>0</v>
      </c>
      <c r="P81" s="32">
        <v>0</v>
      </c>
      <c r="Q81" s="32">
        <v>0</v>
      </c>
      <c r="R81" s="32">
        <v>298621426854</v>
      </c>
      <c r="S81" s="60"/>
    </row>
    <row r="82" spans="1:19" x14ac:dyDescent="0.25">
      <c r="A82" s="28">
        <v>19</v>
      </c>
      <c r="B82" s="31" t="s">
        <v>49</v>
      </c>
      <c r="C82" s="31">
        <v>607262489428</v>
      </c>
      <c r="D82" s="32">
        <v>531504313666</v>
      </c>
      <c r="E82" s="32">
        <v>40373910773</v>
      </c>
      <c r="F82" s="32"/>
      <c r="G82" s="32">
        <v>1636890352</v>
      </c>
      <c r="H82" s="32"/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168592627</v>
      </c>
      <c r="O82" s="32">
        <v>345800000</v>
      </c>
      <c r="P82" s="32">
        <v>33179368010</v>
      </c>
      <c r="Q82" s="32">
        <v>53614000</v>
      </c>
      <c r="R82" s="32"/>
      <c r="S82" s="60"/>
    </row>
    <row r="83" spans="1:19" x14ac:dyDescent="0.25">
      <c r="A83" s="28">
        <v>20</v>
      </c>
      <c r="B83" s="31" t="s">
        <v>50</v>
      </c>
      <c r="C83" s="31">
        <v>2791053985726</v>
      </c>
      <c r="D83" s="32">
        <v>1525036800784</v>
      </c>
      <c r="E83" s="32">
        <v>154163375299</v>
      </c>
      <c r="F83" s="32">
        <v>4071902750</v>
      </c>
      <c r="G83" s="32">
        <v>27045008701</v>
      </c>
      <c r="H83" s="32">
        <v>131649070435</v>
      </c>
      <c r="I83" s="32">
        <v>0</v>
      </c>
      <c r="J83" s="32">
        <v>0</v>
      </c>
      <c r="K83" s="32">
        <v>694942541469</v>
      </c>
      <c r="L83" s="32">
        <v>1414883000</v>
      </c>
      <c r="M83" s="32">
        <v>43327033401</v>
      </c>
      <c r="N83" s="32">
        <v>2751942564</v>
      </c>
      <c r="O83" s="32">
        <v>0</v>
      </c>
      <c r="P83" s="32">
        <v>0</v>
      </c>
      <c r="Q83" s="32">
        <v>0</v>
      </c>
      <c r="R83" s="32">
        <v>206651427323</v>
      </c>
      <c r="S83" s="60"/>
    </row>
    <row r="84" spans="1:19" x14ac:dyDescent="0.25">
      <c r="A84" s="28">
        <v>21</v>
      </c>
      <c r="B84" s="31" t="s">
        <v>51</v>
      </c>
      <c r="C84" s="31">
        <v>904291688092</v>
      </c>
      <c r="D84" s="32">
        <v>224716795006</v>
      </c>
      <c r="E84" s="32">
        <v>3732592793</v>
      </c>
      <c r="F84" s="32">
        <v>16587316227</v>
      </c>
      <c r="G84" s="32">
        <v>1836998383</v>
      </c>
      <c r="H84" s="32">
        <v>56835021709</v>
      </c>
      <c r="I84" s="32">
        <v>0</v>
      </c>
      <c r="J84" s="32">
        <v>4178413191</v>
      </c>
      <c r="K84" s="32">
        <v>210690300000</v>
      </c>
      <c r="L84" s="32">
        <v>16043559140</v>
      </c>
      <c r="M84" s="32">
        <v>20892727857</v>
      </c>
      <c r="N84" s="32">
        <v>7832006360</v>
      </c>
      <c r="O84" s="32">
        <v>3244143916</v>
      </c>
      <c r="P84" s="32">
        <v>0</v>
      </c>
      <c r="Q84" s="32">
        <v>0</v>
      </c>
      <c r="R84" s="32">
        <v>337701813510</v>
      </c>
      <c r="S84" s="60"/>
    </row>
    <row r="85" spans="1:19" x14ac:dyDescent="0.25">
      <c r="A85" s="28">
        <v>22</v>
      </c>
      <c r="B85" s="31" t="s">
        <v>52</v>
      </c>
      <c r="C85" s="31">
        <v>790536482598</v>
      </c>
      <c r="D85" s="32">
        <v>300725331025</v>
      </c>
      <c r="E85" s="32">
        <v>4976537924</v>
      </c>
      <c r="F85" s="32">
        <v>2853608199</v>
      </c>
      <c r="G85" s="32">
        <v>14906240648</v>
      </c>
      <c r="H85" s="32">
        <v>88503506245</v>
      </c>
      <c r="I85" s="32">
        <v>0</v>
      </c>
      <c r="J85" s="32">
        <v>0</v>
      </c>
      <c r="K85" s="32">
        <v>0</v>
      </c>
      <c r="L85" s="32">
        <v>0</v>
      </c>
      <c r="M85" s="32">
        <v>9737201770</v>
      </c>
      <c r="N85" s="32">
        <v>0</v>
      </c>
      <c r="O85" s="32">
        <v>0</v>
      </c>
      <c r="P85" s="32">
        <v>0</v>
      </c>
      <c r="Q85" s="32">
        <v>0</v>
      </c>
      <c r="R85" s="32">
        <v>368834056787</v>
      </c>
      <c r="S85" s="60"/>
    </row>
    <row r="86" spans="1:19" x14ac:dyDescent="0.25">
      <c r="A86" s="28">
        <v>23</v>
      </c>
      <c r="B86" s="31" t="s">
        <v>53</v>
      </c>
      <c r="C86" s="31">
        <v>725090958345</v>
      </c>
      <c r="D86" s="32">
        <v>213559909276</v>
      </c>
      <c r="E86" s="32">
        <v>8056474538</v>
      </c>
      <c r="F86" s="32">
        <v>15179255266</v>
      </c>
      <c r="G86" s="32">
        <v>37689222482</v>
      </c>
      <c r="H86" s="32">
        <v>30053597710</v>
      </c>
      <c r="I86" s="32">
        <v>0</v>
      </c>
      <c r="J86" s="32">
        <v>2894471873</v>
      </c>
      <c r="K86" s="32">
        <v>45794381000</v>
      </c>
      <c r="L86" s="32">
        <v>86151414000</v>
      </c>
      <c r="M86" s="32">
        <v>4940998000</v>
      </c>
      <c r="N86" s="32">
        <v>277220099000</v>
      </c>
      <c r="O86" s="32">
        <v>0</v>
      </c>
      <c r="P86" s="32">
        <v>0</v>
      </c>
      <c r="Q86" s="32">
        <v>807200</v>
      </c>
      <c r="R86" s="32">
        <v>3550328000</v>
      </c>
      <c r="S86" s="60"/>
    </row>
    <row r="87" spans="1:19" x14ac:dyDescent="0.25">
      <c r="A87" s="28">
        <v>24</v>
      </c>
      <c r="B87" s="31" t="s">
        <v>54</v>
      </c>
      <c r="C87" s="31">
        <v>3715682890296</v>
      </c>
      <c r="D87" s="32">
        <v>3507570619052.9995</v>
      </c>
      <c r="E87" s="32">
        <v>21667519693</v>
      </c>
      <c r="F87" s="32">
        <v>23471343365</v>
      </c>
      <c r="G87" s="32">
        <v>37152547467</v>
      </c>
      <c r="H87" s="32">
        <v>43947511787</v>
      </c>
      <c r="I87" s="32">
        <v>7797818</v>
      </c>
      <c r="J87" s="32">
        <v>51747407474</v>
      </c>
      <c r="K87" s="32">
        <v>27079047232</v>
      </c>
      <c r="L87" s="32">
        <v>0</v>
      </c>
      <c r="M87" s="32">
        <v>2580875276</v>
      </c>
      <c r="N87" s="32">
        <v>0</v>
      </c>
      <c r="O87" s="32">
        <v>258221131</v>
      </c>
      <c r="P87" s="32">
        <v>0</v>
      </c>
      <c r="Q87" s="32">
        <v>0</v>
      </c>
      <c r="R87" s="32">
        <v>200000000</v>
      </c>
      <c r="S87" s="60"/>
    </row>
    <row r="88" spans="1:19" s="66" customFormat="1" x14ac:dyDescent="0.25"/>
    <row r="89" spans="1:19" s="66" customFormat="1" x14ac:dyDescent="0.25"/>
  </sheetData>
  <autoFilter ref="A13:S87" xr:uid="{0D27928A-3BCD-411F-8814-38B8C5DEDB12}"/>
  <mergeCells count="11">
    <mergeCell ref="K8:O8"/>
    <mergeCell ref="P8:R8"/>
    <mergeCell ref="S8:S9"/>
    <mergeCell ref="J1:S1"/>
    <mergeCell ref="A3:S3"/>
    <mergeCell ref="A4:S4"/>
    <mergeCell ref="A8:A9"/>
    <mergeCell ref="B8:B9"/>
    <mergeCell ref="C8:C9"/>
    <mergeCell ref="D8:H8"/>
    <mergeCell ref="I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PB 03 -2024</vt:lpstr>
      <vt:lpstr>xuân tổng hợp</vt:lpstr>
      <vt:lpstr>PB 02a 2023 vt</vt:lpstr>
      <vt:lpstr>ty dong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Vũ Thanh Xuân</cp:lastModifiedBy>
  <cp:lastPrinted>2026-03-13T08:06:46Z</cp:lastPrinted>
  <dcterms:created xsi:type="dcterms:W3CDTF">2025-02-24T08:11:27Z</dcterms:created>
  <dcterms:modified xsi:type="dcterms:W3CDTF">2026-03-27T04:00:40Z</dcterms:modified>
</cp:coreProperties>
</file>